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25" activeTab="0"/>
  </bookViews>
  <sheets>
    <sheet name="forecast 2009-2011" sheetId="1" r:id="rId1"/>
    <sheet name="Historica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<sst xmlns="http://schemas.openxmlformats.org/spreadsheetml/2006/main" count="130" uniqueCount="61">
  <si>
    <t>requested</t>
  </si>
  <si>
    <t>used</t>
  </si>
  <si>
    <t>Total</t>
  </si>
  <si>
    <t>CNAF</t>
  </si>
  <si>
    <t>other</t>
  </si>
  <si>
    <t>CC-IN2P3</t>
  </si>
  <si>
    <t>cost (KE)</t>
  </si>
  <si>
    <t>total cost</t>
  </si>
  <si>
    <t>2TB cache</t>
  </si>
  <si>
    <t>2TB cache more</t>
  </si>
  <si>
    <t>Off-line computing at the INFN-CNAF and CNRS-CC-IN2P3 centers (costs without VAT)</t>
  </si>
  <si>
    <t>5TB user space</t>
  </si>
  <si>
    <r>
      <t>CPU</t>
    </r>
    <r>
      <rPr>
        <sz val="10"/>
        <rFont val="Arial"/>
        <family val="0"/>
      </rPr>
      <t>(KiloSPECint2000.day)</t>
    </r>
  </si>
  <si>
    <r>
      <t>storage</t>
    </r>
    <r>
      <rPr>
        <sz val="10"/>
        <rFont val="Arial"/>
        <family val="0"/>
      </rPr>
      <t xml:space="preserve"> TB (incremental)</t>
    </r>
  </si>
  <si>
    <t>Costs: 0.36E/GB</t>
  </si>
  <si>
    <t>1.2E/KSI2K.day</t>
  </si>
  <si>
    <t>10TB cache</t>
  </si>
  <si>
    <t>Lyon has accounted for 140TB instead of 114.5TB (for rewriting on new tapes?), otherwise the unit cost for TB should drop by 18%</t>
  </si>
  <si>
    <t>2008 (Estimate)</t>
  </si>
  <si>
    <t>Total TB at 31-12-2007</t>
  </si>
  <si>
    <t>Reference unit costs are those from Lyon (1.178/KSI2K.day, 0.183/GB)</t>
  </si>
  <si>
    <t>EGO pays only 80</t>
  </si>
  <si>
    <r>
      <t>Disk storage</t>
    </r>
    <r>
      <rPr>
        <sz val="10"/>
        <rFont val="Arial"/>
        <family val="0"/>
      </rPr>
      <t xml:space="preserve"> TB (incremental)</t>
    </r>
  </si>
  <si>
    <r>
      <t xml:space="preserve">Tape storage </t>
    </r>
    <r>
      <rPr>
        <sz val="10"/>
        <rFont val="Arial"/>
        <family val="2"/>
      </rPr>
      <t>TB (incremental)</t>
    </r>
  </si>
  <si>
    <t>Reference unit costs are those from Lyon (0.533/KSI2K.day, 0.633/GB/disk, 0.155/GBtape)</t>
  </si>
  <si>
    <t>tapes 150</t>
  </si>
  <si>
    <t>"+94cache+26SRB" at Lyon</t>
  </si>
  <si>
    <t>108disk+12tape</t>
  </si>
  <si>
    <r>
      <t>Note</t>
    </r>
    <r>
      <rPr>
        <sz val="10"/>
        <rFont val="Arial"/>
        <family val="0"/>
      </rPr>
      <t>:for comparison the CINECA agreed with INAF (Istituto Nazionale di Astrofisica) a price of about 0.849E/KiloSPECint.2000.day (+ VAT) in 2008</t>
    </r>
  </si>
  <si>
    <t xml:space="preserve"> </t>
  </si>
  <si>
    <t>Data production (Virgo+LSC) TB</t>
  </si>
  <si>
    <t>Disk storage TB</t>
  </si>
  <si>
    <t>tape storage (Castor) TB</t>
  </si>
  <si>
    <t>KSI2K.day cost</t>
  </si>
  <si>
    <t xml:space="preserve">disk GB cost </t>
  </si>
  <si>
    <t>HPSS/Castor GB cost</t>
  </si>
  <si>
    <t>status</t>
  </si>
  <si>
    <t xml:space="preserve"> status</t>
  </si>
  <si>
    <t>EGO pays only 120</t>
  </si>
  <si>
    <t>major part is for burst and periodics</t>
  </si>
  <si>
    <r>
      <t>Bologna (</t>
    </r>
    <r>
      <rPr>
        <b/>
        <i/>
        <sz val="10"/>
        <rFont val="Arial"/>
        <family val="2"/>
      </rPr>
      <t>Incremental)</t>
    </r>
  </si>
  <si>
    <t>Total cost Lyon</t>
  </si>
  <si>
    <t>Total cost Bologna</t>
  </si>
  <si>
    <t>Total cost 2 centers</t>
  </si>
  <si>
    <t>Unit costs Lyon (Euro) Hypothesis of 30% yearly drop in  KSI2K cost, no hypothesis in disk/tapes drop</t>
  </si>
  <si>
    <t>Cost of KSI2K</t>
  </si>
  <si>
    <t>KSI2K.days</t>
  </si>
  <si>
    <t>CPU (status is in KSI2K)</t>
  </si>
  <si>
    <t>KSI2K needed(incremental)</t>
  </si>
  <si>
    <t>Unit costs Bologna (Euro): cost calculated as purchase of the needed yearly increment CPU power with substitution after 3 years</t>
  </si>
  <si>
    <t>Lyon</t>
  </si>
  <si>
    <t>CPU usage (KSI2K.days)</t>
  </si>
  <si>
    <t>Disk storage TB (increment)</t>
  </si>
  <si>
    <t>tape storage (HPSS) (increment)</t>
  </si>
  <si>
    <t>Estimate of off-line computing cost</t>
  </si>
  <si>
    <t>Note : The billing procedure for CPU is different in Bologna and Lyon.</t>
  </si>
  <si>
    <t>to Bologna</t>
  </si>
  <si>
    <t>to Lyon</t>
  </si>
  <si>
    <t xml:space="preserve">2009 and 2010 CPU and storage numbers are from the Virgo computing needs for 2010 document </t>
  </si>
  <si>
    <t>2011 CPU and storage numbers are from the Virgo computing needs for 2009 and beyond document (VIR-088A-08)</t>
  </si>
  <si>
    <t>EGO contribution to the cost (k€)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</si>
</sst>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99FF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/>
      <right/>
      <top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/>
    </border>
    <border>
      <left style="thin"/>
      <right style="thin"/>
      <top style="double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ck"/>
      <top style="double"/>
      <bottom style="thick"/>
    </border>
    <border>
      <left/>
      <right style="thin"/>
      <top style="thin"/>
      <bottom style="thick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double"/>
      <bottom style="thick"/>
    </border>
    <border>
      <left style="thick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double"/>
      <bottom style="thick"/>
    </border>
    <border>
      <left style="thin"/>
      <right style="medium"/>
      <top style="double"/>
      <bottom style="thick"/>
    </border>
    <border>
      <left style="thick"/>
      <right/>
      <top/>
      <bottom/>
    </border>
    <border>
      <left style="thin"/>
      <right/>
      <top/>
      <bottom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n"/>
      <right style="medium"/>
      <top/>
      <bottom style="thick"/>
    </border>
    <border>
      <left style="thin"/>
      <right style="thin"/>
      <top/>
      <bottom/>
    </border>
    <border>
      <left style="medium"/>
      <right style="thin"/>
      <top/>
      <bottom style="thick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/>
      <top/>
      <bottom style="thin"/>
    </border>
    <border>
      <left style="thick"/>
      <right style="thick"/>
      <top style="thin"/>
      <bottom style="thin"/>
    </border>
    <border>
      <left style="thin"/>
      <right/>
      <top/>
      <bottom style="thick"/>
    </border>
    <border>
      <left style="thin"/>
      <right style="thick"/>
      <top/>
      <bottom style="thick"/>
    </border>
    <border>
      <left style="thin"/>
      <right style="thick"/>
      <top style="thick"/>
      <bottom style="thick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double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n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3" fillId="33" borderId="27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28" xfId="0" applyFont="1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29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30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31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3" fillId="34" borderId="32" xfId="0" applyFont="1" applyFill="1" applyBorder="1" applyAlignment="1">
      <alignment wrapText="1"/>
    </xf>
    <xf numFmtId="0" fontId="3" fillId="34" borderId="13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0" fillId="34" borderId="33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29" xfId="0" applyFill="1" applyBorder="1" applyAlignment="1">
      <alignment wrapText="1"/>
    </xf>
    <xf numFmtId="0" fontId="0" fillId="34" borderId="34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30" xfId="0" applyFill="1" applyBorder="1" applyAlignment="1">
      <alignment wrapText="1"/>
    </xf>
    <xf numFmtId="0" fontId="0" fillId="34" borderId="35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0" fillId="34" borderId="31" xfId="0" applyFill="1" applyBorder="1" applyAlignment="1">
      <alignment wrapText="1"/>
    </xf>
    <xf numFmtId="0" fontId="0" fillId="34" borderId="36" xfId="0" applyFill="1" applyBorder="1" applyAlignment="1">
      <alignment wrapText="1"/>
    </xf>
    <xf numFmtId="0" fontId="0" fillId="34" borderId="17" xfId="0" applyFill="1" applyBorder="1" applyAlignment="1">
      <alignment wrapText="1"/>
    </xf>
    <xf numFmtId="0" fontId="3" fillId="33" borderId="37" xfId="0" applyFont="1" applyFill="1" applyBorder="1" applyAlignment="1">
      <alignment wrapText="1"/>
    </xf>
    <xf numFmtId="0" fontId="3" fillId="34" borderId="37" xfId="0" applyFont="1" applyFill="1" applyBorder="1" applyAlignment="1">
      <alignment wrapText="1"/>
    </xf>
    <xf numFmtId="0" fontId="4" fillId="33" borderId="17" xfId="0" applyFont="1" applyFill="1" applyBorder="1" applyAlignment="1">
      <alignment wrapText="1"/>
    </xf>
    <xf numFmtId="2" fontId="4" fillId="0" borderId="19" xfId="0" applyNumberFormat="1" applyFont="1" applyBorder="1" applyAlignment="1">
      <alignment wrapText="1"/>
    </xf>
    <xf numFmtId="2" fontId="5" fillId="0" borderId="21" xfId="0" applyNumberFormat="1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2" fontId="4" fillId="0" borderId="19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33" borderId="1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33" borderId="31" xfId="0" applyFill="1" applyBorder="1" applyAlignment="1">
      <alignment vertical="center" wrapText="1"/>
    </xf>
    <xf numFmtId="0" fontId="0" fillId="34" borderId="35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31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33" borderId="30" xfId="0" applyFill="1" applyBorder="1" applyAlignment="1">
      <alignment vertical="center" wrapText="1"/>
    </xf>
    <xf numFmtId="0" fontId="0" fillId="34" borderId="30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2" fontId="4" fillId="34" borderId="30" xfId="0" applyNumberFormat="1" applyFont="1" applyFill="1" applyBorder="1" applyAlignment="1">
      <alignment vertical="center" wrapText="1"/>
    </xf>
    <xf numFmtId="2" fontId="4" fillId="34" borderId="30" xfId="0" applyNumberFormat="1" applyFont="1" applyFill="1" applyBorder="1" applyAlignment="1">
      <alignment wrapText="1"/>
    </xf>
    <xf numFmtId="2" fontId="4" fillId="33" borderId="30" xfId="0" applyNumberFormat="1" applyFont="1" applyFill="1" applyBorder="1" applyAlignment="1">
      <alignment vertical="center" wrapText="1"/>
    </xf>
    <xf numFmtId="2" fontId="4" fillId="33" borderId="30" xfId="0" applyNumberFormat="1" applyFont="1" applyFill="1" applyBorder="1" applyAlignment="1">
      <alignment wrapText="1"/>
    </xf>
    <xf numFmtId="2" fontId="5" fillId="33" borderId="37" xfId="0" applyNumberFormat="1" applyFont="1" applyFill="1" applyBorder="1" applyAlignment="1">
      <alignment wrapText="1"/>
    </xf>
    <xf numFmtId="2" fontId="5" fillId="34" borderId="37" xfId="0" applyNumberFormat="1" applyFont="1" applyFill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0" fillId="0" borderId="38" xfId="0" applyBorder="1" applyAlignment="1">
      <alignment wrapText="1"/>
    </xf>
    <xf numFmtId="0" fontId="0" fillId="33" borderId="11" xfId="0" applyFont="1" applyFill="1" applyBorder="1" applyAlignment="1">
      <alignment vertical="center" wrapText="1"/>
    </xf>
    <xf numFmtId="0" fontId="0" fillId="33" borderId="30" xfId="0" applyFont="1" applyFill="1" applyBorder="1" applyAlignment="1">
      <alignment vertical="center" wrapText="1"/>
    </xf>
    <xf numFmtId="0" fontId="0" fillId="34" borderId="34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vertical="center" wrapText="1"/>
    </xf>
    <xf numFmtId="0" fontId="0" fillId="34" borderId="30" xfId="0" applyFont="1" applyFill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4" fontId="4" fillId="33" borderId="30" xfId="0" applyNumberFormat="1" applyFont="1" applyFill="1" applyBorder="1" applyAlignment="1">
      <alignment vertical="center" wrapText="1"/>
    </xf>
    <xf numFmtId="2" fontId="7" fillId="0" borderId="39" xfId="0" applyNumberFormat="1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33" borderId="40" xfId="0" applyFill="1" applyBorder="1" applyAlignment="1">
      <alignment wrapText="1"/>
    </xf>
    <xf numFmtId="0" fontId="4" fillId="33" borderId="41" xfId="0" applyFont="1" applyFill="1" applyBorder="1" applyAlignment="1">
      <alignment wrapText="1"/>
    </xf>
    <xf numFmtId="2" fontId="5" fillId="33" borderId="42" xfId="0" applyNumberFormat="1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43" xfId="0" applyBorder="1" applyAlignment="1">
      <alignment wrapText="1"/>
    </xf>
    <xf numFmtId="0" fontId="0" fillId="34" borderId="44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2" fontId="5" fillId="34" borderId="42" xfId="0" applyNumberFormat="1" applyFont="1" applyFill="1" applyBorder="1" applyAlignment="1">
      <alignment wrapText="1"/>
    </xf>
    <xf numFmtId="0" fontId="0" fillId="0" borderId="40" xfId="0" applyBorder="1" applyAlignment="1">
      <alignment wrapText="1"/>
    </xf>
    <xf numFmtId="4" fontId="0" fillId="33" borderId="30" xfId="0" applyNumberFormat="1" applyFont="1" applyFill="1" applyBorder="1" applyAlignment="1">
      <alignment vertical="center" wrapText="1"/>
    </xf>
    <xf numFmtId="2" fontId="0" fillId="33" borderId="30" xfId="0" applyNumberFormat="1" applyFont="1" applyFill="1" applyBorder="1" applyAlignment="1">
      <alignment wrapText="1"/>
    </xf>
    <xf numFmtId="2" fontId="0" fillId="33" borderId="30" xfId="0" applyNumberFormat="1" applyFont="1" applyFill="1" applyBorder="1" applyAlignment="1">
      <alignment vertical="center" wrapText="1"/>
    </xf>
    <xf numFmtId="2" fontId="0" fillId="34" borderId="30" xfId="0" applyNumberFormat="1" applyFont="1" applyFill="1" applyBorder="1" applyAlignment="1">
      <alignment vertical="center" wrapText="1"/>
    </xf>
    <xf numFmtId="2" fontId="0" fillId="34" borderId="30" xfId="0" applyNumberFormat="1" applyFont="1" applyFill="1" applyBorder="1" applyAlignment="1">
      <alignment wrapText="1"/>
    </xf>
    <xf numFmtId="2" fontId="0" fillId="0" borderId="19" xfId="0" applyNumberFormat="1" applyFont="1" applyBorder="1" applyAlignment="1">
      <alignment vertical="center" wrapText="1"/>
    </xf>
    <xf numFmtId="2" fontId="0" fillId="0" borderId="19" xfId="0" applyNumberFormat="1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19" xfId="0" applyBorder="1" applyAlignment="1">
      <alignment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 horizontal="right"/>
    </xf>
    <xf numFmtId="0" fontId="0" fillId="34" borderId="46" xfId="0" applyFill="1" applyBorder="1" applyAlignment="1">
      <alignment/>
    </xf>
    <xf numFmtId="0" fontId="0" fillId="34" borderId="19" xfId="0" applyFill="1" applyBorder="1" applyAlignment="1">
      <alignment/>
    </xf>
    <xf numFmtId="0" fontId="0" fillId="33" borderId="46" xfId="0" applyFill="1" applyBorder="1" applyAlignment="1">
      <alignment/>
    </xf>
    <xf numFmtId="0" fontId="0" fillId="36" borderId="27" xfId="0" applyFill="1" applyBorder="1" applyAlignment="1">
      <alignment/>
    </xf>
    <xf numFmtId="0" fontId="0" fillId="0" borderId="46" xfId="0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35" borderId="49" xfId="0" applyFill="1" applyBorder="1" applyAlignment="1">
      <alignment horizontal="right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3" fillId="36" borderId="50" xfId="0" applyFont="1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46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3" fillId="33" borderId="46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36" borderId="46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wrapText="1"/>
    </xf>
    <xf numFmtId="0" fontId="0" fillId="0" borderId="51" xfId="0" applyBorder="1" applyAlignment="1">
      <alignment wrapText="1"/>
    </xf>
    <xf numFmtId="0" fontId="3" fillId="0" borderId="52" xfId="0" applyFont="1" applyBorder="1" applyAlignment="1">
      <alignment wrapText="1"/>
    </xf>
    <xf numFmtId="2" fontId="7" fillId="0" borderId="53" xfId="0" applyNumberFormat="1" applyFont="1" applyBorder="1" applyAlignment="1">
      <alignment horizontal="left" wrapText="1"/>
    </xf>
    <xf numFmtId="1" fontId="0" fillId="0" borderId="19" xfId="0" applyNumberFormat="1" applyBorder="1" applyAlignment="1">
      <alignment/>
    </xf>
    <xf numFmtId="1" fontId="3" fillId="33" borderId="19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/>
    </xf>
    <xf numFmtId="1" fontId="0" fillId="34" borderId="19" xfId="0" applyNumberFormat="1" applyFill="1" applyBorder="1" applyAlignment="1">
      <alignment/>
    </xf>
    <xf numFmtId="1" fontId="3" fillId="36" borderId="15" xfId="0" applyNumberFormat="1" applyFont="1" applyFill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45" xfId="0" applyFont="1" applyBorder="1" applyAlignment="1">
      <alignment wrapText="1"/>
    </xf>
    <xf numFmtId="0" fontId="3" fillId="35" borderId="45" xfId="0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33" borderId="45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3" fillId="34" borderId="45" xfId="0" applyFont="1" applyFill="1" applyBorder="1" applyAlignment="1">
      <alignment/>
    </xf>
    <xf numFmtId="0" fontId="0" fillId="36" borderId="45" xfId="0" applyFill="1" applyBorder="1" applyAlignment="1">
      <alignment/>
    </xf>
    <xf numFmtId="0" fontId="0" fillId="35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36" borderId="10" xfId="0" applyFill="1" applyBorder="1" applyAlignment="1">
      <alignment horizontal="right"/>
    </xf>
    <xf numFmtId="0" fontId="0" fillId="35" borderId="54" xfId="0" applyFill="1" applyBorder="1" applyAlignment="1">
      <alignment/>
    </xf>
    <xf numFmtId="0" fontId="0" fillId="35" borderId="55" xfId="0" applyFill="1" applyBorder="1" applyAlignment="1">
      <alignment horizontal="right"/>
    </xf>
    <xf numFmtId="0" fontId="0" fillId="0" borderId="56" xfId="0" applyBorder="1" applyAlignment="1">
      <alignment/>
    </xf>
    <xf numFmtId="1" fontId="0" fillId="0" borderId="57" xfId="0" applyNumberFormat="1" applyBorder="1" applyAlignment="1">
      <alignment/>
    </xf>
    <xf numFmtId="0" fontId="0" fillId="33" borderId="56" xfId="0" applyFill="1" applyBorder="1" applyAlignment="1">
      <alignment/>
    </xf>
    <xf numFmtId="1" fontId="3" fillId="33" borderId="57" xfId="0" applyNumberFormat="1" applyFont="1" applyFill="1" applyBorder="1" applyAlignment="1">
      <alignment/>
    </xf>
    <xf numFmtId="0" fontId="0" fillId="0" borderId="56" xfId="0" applyFill="1" applyBorder="1" applyAlignment="1">
      <alignment/>
    </xf>
    <xf numFmtId="1" fontId="3" fillId="0" borderId="57" xfId="0" applyNumberFormat="1" applyFont="1" applyFill="1" applyBorder="1" applyAlignment="1">
      <alignment/>
    </xf>
    <xf numFmtId="0" fontId="0" fillId="34" borderId="56" xfId="0" applyFill="1" applyBorder="1" applyAlignment="1">
      <alignment/>
    </xf>
    <xf numFmtId="1" fontId="0" fillId="34" borderId="57" xfId="0" applyNumberFormat="1" applyFill="1" applyBorder="1" applyAlignment="1">
      <alignment/>
    </xf>
    <xf numFmtId="0" fontId="0" fillId="36" borderId="58" xfId="0" applyFill="1" applyBorder="1" applyAlignment="1">
      <alignment/>
    </xf>
    <xf numFmtId="1" fontId="3" fillId="36" borderId="59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3" fillId="0" borderId="46" xfId="0" applyFont="1" applyBorder="1" applyAlignment="1">
      <alignment/>
    </xf>
    <xf numFmtId="0" fontId="9" fillId="0" borderId="49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Alignment="1">
      <alignment/>
    </xf>
    <xf numFmtId="1" fontId="0" fillId="0" borderId="10" xfId="0" applyNumberFormat="1" applyBorder="1" applyAlignment="1">
      <alignment horizontal="right"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3" fillId="0" borderId="46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60" xfId="0" applyFont="1" applyBorder="1" applyAlignment="1">
      <alignment wrapText="1"/>
    </xf>
    <xf numFmtId="0" fontId="3" fillId="35" borderId="49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6" borderId="60" xfId="0" applyFill="1" applyBorder="1" applyAlignment="1">
      <alignment/>
    </xf>
    <xf numFmtId="0" fontId="0" fillId="0" borderId="61" xfId="0" applyFont="1" applyBorder="1" applyAlignment="1">
      <alignment wrapText="1"/>
    </xf>
    <xf numFmtId="0" fontId="0" fillId="0" borderId="62" xfId="0" applyFont="1" applyBorder="1" applyAlignment="1">
      <alignment wrapText="1"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0" fillId="33" borderId="63" xfId="0" applyFont="1" applyFill="1" applyBorder="1" applyAlignment="1">
      <alignment/>
    </xf>
    <xf numFmtId="0" fontId="0" fillId="33" borderId="64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3" fillId="34" borderId="63" xfId="0" applyFont="1" applyFill="1" applyBorder="1" applyAlignment="1">
      <alignment/>
    </xf>
    <xf numFmtId="0" fontId="3" fillId="34" borderId="64" xfId="0" applyFont="1" applyFill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36" borderId="65" xfId="0" applyFill="1" applyBorder="1" applyAlignment="1">
      <alignment/>
    </xf>
    <xf numFmtId="0" fontId="0" fillId="35" borderId="66" xfId="0" applyFill="1" applyBorder="1" applyAlignment="1">
      <alignment/>
    </xf>
    <xf numFmtId="0" fontId="0" fillId="35" borderId="67" xfId="0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7" borderId="47" xfId="0" applyFill="1" applyBorder="1" applyAlignment="1">
      <alignment horizontal="right"/>
    </xf>
    <xf numFmtId="0" fontId="0" fillId="37" borderId="0" xfId="0" applyFill="1" applyAlignment="1">
      <alignment/>
    </xf>
    <xf numFmtId="0" fontId="3" fillId="37" borderId="0" xfId="0" applyFont="1" applyFill="1" applyAlignment="1">
      <alignment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8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3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38" xfId="0" applyFont="1" applyBorder="1" applyAlignment="1">
      <alignment wrapText="1"/>
    </xf>
    <xf numFmtId="0" fontId="0" fillId="0" borderId="0" xfId="0" applyAlignment="1">
      <alignment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0" fillId="0" borderId="10" xfId="0" applyBorder="1" applyAlignment="1">
      <alignment/>
    </xf>
    <xf numFmtId="0" fontId="3" fillId="33" borderId="72" xfId="0" applyFont="1" applyFill="1" applyBorder="1" applyAlignment="1">
      <alignment horizontal="center"/>
    </xf>
    <xf numFmtId="0" fontId="3" fillId="33" borderId="76" xfId="0" applyFont="1" applyFill="1" applyBorder="1" applyAlignment="1">
      <alignment horizontal="center"/>
    </xf>
    <xf numFmtId="0" fontId="3" fillId="33" borderId="77" xfId="0" applyFont="1" applyFill="1" applyBorder="1" applyAlignment="1">
      <alignment horizontal="center"/>
    </xf>
    <xf numFmtId="0" fontId="3" fillId="34" borderId="78" xfId="0" applyFont="1" applyFill="1" applyBorder="1" applyAlignment="1">
      <alignment horizontal="center"/>
    </xf>
    <xf numFmtId="0" fontId="3" fillId="34" borderId="76" xfId="0" applyFont="1" applyFill="1" applyBorder="1" applyAlignment="1">
      <alignment horizontal="center"/>
    </xf>
    <xf numFmtId="0" fontId="3" fillId="34" borderId="7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="80" zoomScaleNormal="80" zoomScalePageLayoutView="0" workbookViewId="0" topLeftCell="A8">
      <selection activeCell="F38" sqref="F38"/>
    </sheetView>
  </sheetViews>
  <sheetFormatPr defaultColWidth="9.140625" defaultRowHeight="12.75"/>
  <cols>
    <col min="1" max="1" width="32.57421875" style="0" customWidth="1"/>
    <col min="2" max="2" width="11.140625" style="0" customWidth="1"/>
    <col min="3" max="3" width="8.8515625" style="0" customWidth="1"/>
    <col min="4" max="4" width="8.140625" style="0" customWidth="1"/>
    <col min="5" max="5" width="10.8515625" style="0" customWidth="1"/>
    <col min="6" max="6" width="8.421875" style="0" customWidth="1"/>
    <col min="7" max="7" width="7.421875" style="0" customWidth="1"/>
    <col min="8" max="8" width="9.28125" style="0" customWidth="1"/>
    <col min="9" max="9" width="8.8515625" style="0" customWidth="1"/>
    <col min="10" max="10" width="7.28125" style="0" customWidth="1"/>
    <col min="11" max="12" width="8.7109375" style="0" customWidth="1"/>
    <col min="13" max="13" width="7.57421875" style="0" customWidth="1"/>
    <col min="15" max="15" width="8.57421875" style="0" customWidth="1"/>
    <col min="16" max="16" width="7.8515625" style="0" customWidth="1"/>
    <col min="18" max="18" width="12.140625" style="0" customWidth="1"/>
  </cols>
  <sheetData>
    <row r="1" spans="1:23" ht="15.75">
      <c r="A1" s="185" t="s">
        <v>54</v>
      </c>
      <c r="B1" s="185"/>
      <c r="C1" s="185"/>
      <c r="D1" s="185"/>
      <c r="E1" s="9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>
      <c r="A2" s="185"/>
      <c r="B2" s="185"/>
      <c r="C2" s="185"/>
      <c r="D2" s="185"/>
      <c r="E2" s="9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.75">
      <c r="A3" s="216" t="s">
        <v>58</v>
      </c>
      <c r="B3" s="185"/>
      <c r="C3" s="185"/>
      <c r="D3" s="185"/>
      <c r="E3" s="9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5.75">
      <c r="A4" s="216" t="s">
        <v>59</v>
      </c>
      <c r="B4" s="185"/>
      <c r="C4" s="185"/>
      <c r="D4" s="185"/>
      <c r="E4" s="93"/>
      <c r="F4" s="3"/>
      <c r="G4" s="2"/>
      <c r="H4" s="2"/>
      <c r="I4" s="2"/>
      <c r="J4" s="2"/>
      <c r="K4" s="3"/>
      <c r="L4" s="2"/>
      <c r="M4" s="2"/>
      <c r="N4" s="3"/>
      <c r="O4" s="2"/>
      <c r="P4" s="2"/>
      <c r="Q4" s="3"/>
      <c r="R4" s="2"/>
      <c r="S4" s="3"/>
      <c r="T4" s="3"/>
      <c r="U4" s="3"/>
      <c r="V4" s="3"/>
      <c r="W4" s="3"/>
    </row>
    <row r="5" spans="1:23" ht="15">
      <c r="A5" s="186"/>
      <c r="B5" s="186"/>
      <c r="C5" s="186"/>
      <c r="D5" s="186"/>
      <c r="E5" s="3"/>
      <c r="F5" s="2"/>
      <c r="G5" s="2"/>
      <c r="H5" s="2"/>
      <c r="I5" s="2"/>
      <c r="J5" s="2"/>
      <c r="K5" s="3"/>
      <c r="L5" s="2"/>
      <c r="M5" s="2"/>
      <c r="N5" s="3"/>
      <c r="O5" s="2"/>
      <c r="P5" s="2"/>
      <c r="Q5" s="3"/>
      <c r="R5" s="2"/>
      <c r="S5" s="3"/>
      <c r="T5" s="3"/>
      <c r="U5" s="3"/>
      <c r="V5" s="3"/>
      <c r="W5" s="3"/>
    </row>
    <row r="6" spans="1:23" s="218" customFormat="1" ht="12">
      <c r="A6" s="219" t="s">
        <v>55</v>
      </c>
      <c r="B6" s="219"/>
      <c r="C6" s="219"/>
      <c r="D6" s="219"/>
      <c r="E6" s="216"/>
      <c r="F6" s="216"/>
      <c r="G6" s="216"/>
      <c r="H6" s="216"/>
      <c r="I6" s="216"/>
      <c r="J6" s="216"/>
      <c r="K6" s="217"/>
      <c r="L6" s="216"/>
      <c r="M6" s="216"/>
      <c r="N6" s="217"/>
      <c r="O6" s="216"/>
      <c r="P6" s="216"/>
      <c r="Q6" s="217"/>
      <c r="R6" s="216"/>
      <c r="S6" s="217"/>
      <c r="T6" s="217"/>
      <c r="U6" s="217"/>
      <c r="V6" s="217"/>
      <c r="W6" s="217"/>
    </row>
    <row r="7" spans="1:23" ht="15">
      <c r="A7" s="187"/>
      <c r="B7" s="187"/>
      <c r="C7" s="187"/>
      <c r="D7" s="187"/>
      <c r="E7" s="111"/>
      <c r="F7" s="2"/>
      <c r="G7" s="2"/>
      <c r="H7" s="2"/>
      <c r="I7" s="2"/>
      <c r="J7" s="2"/>
      <c r="K7" s="3"/>
      <c r="L7" s="2"/>
      <c r="M7" s="2"/>
      <c r="N7" s="3"/>
      <c r="O7" s="2"/>
      <c r="P7" s="2"/>
      <c r="Q7" s="3"/>
      <c r="R7" s="2"/>
      <c r="S7" s="3"/>
      <c r="T7" s="3"/>
      <c r="U7" s="3"/>
      <c r="V7" s="3"/>
      <c r="W7" s="3"/>
    </row>
    <row r="8" spans="1:23" ht="12.75">
      <c r="A8" s="111"/>
      <c r="B8" s="111"/>
      <c r="C8" s="111"/>
      <c r="D8" s="111"/>
      <c r="E8" s="111"/>
      <c r="F8" s="2"/>
      <c r="G8" s="2"/>
      <c r="H8" s="2"/>
      <c r="I8" s="2"/>
      <c r="J8" s="2"/>
      <c r="K8" s="3"/>
      <c r="L8" s="2"/>
      <c r="M8" s="2"/>
      <c r="N8" s="3"/>
      <c r="O8" s="2"/>
      <c r="P8" s="2"/>
      <c r="Q8" s="3"/>
      <c r="R8" s="2"/>
      <c r="S8" s="3"/>
      <c r="T8" s="3"/>
      <c r="U8" s="3"/>
      <c r="V8" s="3"/>
      <c r="W8" s="3"/>
    </row>
    <row r="9" spans="1:4" ht="12.75">
      <c r="A9" s="141" t="s">
        <v>49</v>
      </c>
      <c r="B9" s="141"/>
      <c r="C9" s="141"/>
      <c r="D9" s="141"/>
    </row>
    <row r="10" spans="1:15" ht="12.75">
      <c r="A10" s="141" t="s">
        <v>45</v>
      </c>
      <c r="B10" s="141"/>
      <c r="C10" s="141"/>
      <c r="D10" s="141"/>
      <c r="F10">
        <v>160</v>
      </c>
      <c r="I10">
        <v>90</v>
      </c>
      <c r="L10">
        <v>88</v>
      </c>
      <c r="O10">
        <v>54</v>
      </c>
    </row>
    <row r="11" spans="1:15" ht="12.75">
      <c r="A11" s="141" t="s">
        <v>48</v>
      </c>
      <c r="B11" s="141"/>
      <c r="C11" s="141"/>
      <c r="D11" s="141"/>
      <c r="F11" s="182">
        <f>G18-D18</f>
        <v>123.2876712328767</v>
      </c>
      <c r="I11" s="182">
        <f>J18-G18</f>
        <v>616.4383561643835</v>
      </c>
      <c r="L11" s="182">
        <f>(M18-J18)+D18</f>
        <v>136.986301369863</v>
      </c>
      <c r="O11" s="182">
        <f>(P18-M18)+F11</f>
        <v>315.0684931506851</v>
      </c>
    </row>
    <row r="12" spans="1:18" ht="12.75" customHeight="1">
      <c r="A12" t="s">
        <v>33</v>
      </c>
      <c r="F12" s="190">
        <f>F10/365</f>
        <v>0.4383561643835616</v>
      </c>
      <c r="I12" s="190">
        <f>I10/365</f>
        <v>0.2465753424657534</v>
      </c>
      <c r="L12" s="190">
        <f>L10/365</f>
        <v>0.2410958904109589</v>
      </c>
      <c r="O12" s="190">
        <f>O10/365</f>
        <v>0.14794520547945206</v>
      </c>
      <c r="R12" s="190"/>
    </row>
    <row r="13" spans="1:15" ht="12.75">
      <c r="A13" t="s">
        <v>34</v>
      </c>
      <c r="F13">
        <v>1.25</v>
      </c>
      <c r="I13">
        <v>0.96</v>
      </c>
      <c r="L13">
        <v>0.71</v>
      </c>
      <c r="O13">
        <f>0.53</f>
        <v>0.53</v>
      </c>
    </row>
    <row r="14" spans="1:15" ht="11.25" customHeight="1" thickBot="1">
      <c r="A14" t="s">
        <v>35</v>
      </c>
      <c r="F14">
        <v>0.17</v>
      </c>
      <c r="I14">
        <f>0.1</f>
        <v>0.1</v>
      </c>
      <c r="L14">
        <f>0.088</f>
        <v>0.088</v>
      </c>
      <c r="O14">
        <f>0.063</f>
        <v>0.063</v>
      </c>
    </row>
    <row r="15" spans="1:19" ht="24" customHeight="1" thickBot="1" thickTop="1">
      <c r="A15" s="184"/>
      <c r="B15" s="231">
        <v>2007</v>
      </c>
      <c r="C15" s="232"/>
      <c r="D15" s="184"/>
      <c r="E15" s="223">
        <v>2008</v>
      </c>
      <c r="F15" s="224"/>
      <c r="G15" s="134" t="s">
        <v>37</v>
      </c>
      <c r="H15" s="227">
        <v>2009</v>
      </c>
      <c r="I15" s="228"/>
      <c r="J15" s="134" t="s">
        <v>36</v>
      </c>
      <c r="K15" s="227">
        <v>2010</v>
      </c>
      <c r="L15" s="228"/>
      <c r="M15" s="133" t="s">
        <v>36</v>
      </c>
      <c r="N15" s="227">
        <v>2011</v>
      </c>
      <c r="O15" s="228"/>
      <c r="P15" s="136" t="s">
        <v>36</v>
      </c>
      <c r="Q15" s="233"/>
      <c r="R15" s="234"/>
      <c r="S15" s="2"/>
    </row>
    <row r="16" spans="1:18" ht="25.5" customHeight="1" thickBot="1" thickTop="1">
      <c r="A16" s="157" t="s">
        <v>30</v>
      </c>
      <c r="B16" s="201"/>
      <c r="C16" s="202"/>
      <c r="D16" s="194"/>
      <c r="E16" s="225">
        <v>12</v>
      </c>
      <c r="F16" s="226"/>
      <c r="G16" s="127"/>
      <c r="H16" s="229">
        <v>190</v>
      </c>
      <c r="I16" s="230"/>
      <c r="J16" s="135"/>
      <c r="K16" s="229">
        <v>192</v>
      </c>
      <c r="L16" s="230"/>
      <c r="M16" s="131"/>
      <c r="N16" s="229">
        <v>300</v>
      </c>
      <c r="O16" s="230"/>
      <c r="P16" s="137"/>
      <c r="Q16" s="235"/>
      <c r="R16" s="236"/>
    </row>
    <row r="17" spans="1:18" ht="13.5" thickTop="1">
      <c r="A17" s="158" t="s">
        <v>40</v>
      </c>
      <c r="B17" s="214" t="s">
        <v>46</v>
      </c>
      <c r="C17" s="215" t="s">
        <v>6</v>
      </c>
      <c r="D17" s="195"/>
      <c r="E17" s="170" t="s">
        <v>46</v>
      </c>
      <c r="F17" s="171" t="s">
        <v>6</v>
      </c>
      <c r="G17" s="164"/>
      <c r="H17" s="116"/>
      <c r="I17" s="117" t="s">
        <v>6</v>
      </c>
      <c r="J17" s="126"/>
      <c r="K17" s="116"/>
      <c r="L17" s="117" t="s">
        <v>6</v>
      </c>
      <c r="M17" s="126"/>
      <c r="N17" s="116"/>
      <c r="O17" s="117" t="s">
        <v>6</v>
      </c>
      <c r="P17" s="220"/>
      <c r="R17" s="124"/>
    </row>
    <row r="18" spans="1:18" ht="12.75">
      <c r="A18" s="159" t="s">
        <v>47</v>
      </c>
      <c r="B18" s="203">
        <v>15000</v>
      </c>
      <c r="C18" s="204"/>
      <c r="D18" s="182">
        <f>B18/365</f>
        <v>41.0958904109589</v>
      </c>
      <c r="E18" s="172">
        <v>60000</v>
      </c>
      <c r="F18" s="173">
        <f>F11*F10/1000</f>
        <v>19.726027397260275</v>
      </c>
      <c r="G18" s="189">
        <f>E18/365</f>
        <v>164.3835616438356</v>
      </c>
      <c r="H18" s="114">
        <v>285000</v>
      </c>
      <c r="I18" s="173">
        <f>I11*I10/1000</f>
        <v>55.47945205479452</v>
      </c>
      <c r="J18" s="191">
        <f>H18/365</f>
        <v>780.8219178082192</v>
      </c>
      <c r="K18" s="114">
        <v>320000</v>
      </c>
      <c r="L18" s="173">
        <f>L11*L10/1000</f>
        <v>12.054794520547945</v>
      </c>
      <c r="M18" s="191">
        <f>K18/365</f>
        <v>876.7123287671233</v>
      </c>
      <c r="N18" s="114">
        <v>390000</v>
      </c>
      <c r="O18" s="173">
        <f>O11*O10/1000</f>
        <v>17.013698630136993</v>
      </c>
      <c r="P18" s="192">
        <f>N18/365</f>
        <v>1068.4931506849316</v>
      </c>
      <c r="R18" s="125"/>
    </row>
    <row r="19" spans="1:18" ht="12.75">
      <c r="A19" s="159" t="s">
        <v>31</v>
      </c>
      <c r="B19" s="203"/>
      <c r="C19" s="204"/>
      <c r="D19" s="196"/>
      <c r="E19" s="172">
        <v>12</v>
      </c>
      <c r="F19" s="173">
        <f>F13*E19</f>
        <v>15</v>
      </c>
      <c r="G19" s="165">
        <v>108</v>
      </c>
      <c r="H19" s="114">
        <v>82</v>
      </c>
      <c r="I19" s="148">
        <f>I13*H19</f>
        <v>78.72</v>
      </c>
      <c r="J19" s="127">
        <f>G19+H19</f>
        <v>190</v>
      </c>
      <c r="K19" s="114">
        <v>185</v>
      </c>
      <c r="L19" s="148">
        <f>L13*K19</f>
        <v>131.35</v>
      </c>
      <c r="M19" s="127">
        <f>J19+K19</f>
        <v>375</v>
      </c>
      <c r="N19" s="114">
        <v>169</v>
      </c>
      <c r="O19" s="153">
        <f>O13*N19</f>
        <v>89.57000000000001</v>
      </c>
      <c r="P19" s="183">
        <f>M19+N19</f>
        <v>544</v>
      </c>
      <c r="R19" s="154"/>
    </row>
    <row r="20" spans="1:18" ht="12.75">
      <c r="A20" s="159" t="s">
        <v>32</v>
      </c>
      <c r="B20" s="203">
        <v>120</v>
      </c>
      <c r="C20" s="204"/>
      <c r="D20" s="196"/>
      <c r="E20" s="172">
        <v>55</v>
      </c>
      <c r="F20" s="173">
        <f>E20*F14</f>
        <v>9.350000000000001</v>
      </c>
      <c r="G20" s="165">
        <v>55</v>
      </c>
      <c r="H20" s="114">
        <v>106</v>
      </c>
      <c r="I20" s="148">
        <f>H20*I14</f>
        <v>10.600000000000001</v>
      </c>
      <c r="J20" s="127">
        <f>G20+H20</f>
        <v>161</v>
      </c>
      <c r="K20" s="114">
        <v>20</v>
      </c>
      <c r="L20" s="148">
        <f>K20*L14</f>
        <v>1.7599999999999998</v>
      </c>
      <c r="M20" s="127">
        <f>J20+K20</f>
        <v>181</v>
      </c>
      <c r="N20" s="114">
        <v>131</v>
      </c>
      <c r="O20" s="153">
        <f>N20*O14</f>
        <v>8.253</v>
      </c>
      <c r="P20" s="183">
        <f>M20+N20</f>
        <v>312</v>
      </c>
      <c r="Q20" s="112"/>
      <c r="R20" s="154"/>
    </row>
    <row r="21" spans="1:18" ht="12.75">
      <c r="A21" s="160" t="s">
        <v>42</v>
      </c>
      <c r="B21" s="205"/>
      <c r="C21" s="206">
        <v>45</v>
      </c>
      <c r="D21" s="197"/>
      <c r="E21" s="174"/>
      <c r="F21" s="175">
        <f>SUM(F18:F20)</f>
        <v>44.076027397260276</v>
      </c>
      <c r="G21" s="166"/>
      <c r="H21" s="120"/>
      <c r="I21" s="149">
        <f>SUM(I18:I20)</f>
        <v>144.7994520547945</v>
      </c>
      <c r="J21" s="128"/>
      <c r="K21" s="120"/>
      <c r="L21" s="149">
        <f>SUM(L18:L20)</f>
        <v>145.16479452054793</v>
      </c>
      <c r="M21" s="128"/>
      <c r="N21" s="120"/>
      <c r="O21" s="149">
        <f>SUM(O18:O20)</f>
        <v>114.83669863013701</v>
      </c>
      <c r="P21" s="138"/>
      <c r="R21" s="155"/>
    </row>
    <row r="22" spans="1:18" ht="12.75">
      <c r="A22" s="161"/>
      <c r="B22" s="207"/>
      <c r="C22" s="208"/>
      <c r="D22" s="198"/>
      <c r="E22" s="176"/>
      <c r="F22" s="177"/>
      <c r="G22" s="167"/>
      <c r="H22" s="122"/>
      <c r="I22" s="150"/>
      <c r="J22" s="129"/>
      <c r="K22" s="122"/>
      <c r="L22" s="150"/>
      <c r="M22" s="129"/>
      <c r="N22" s="122"/>
      <c r="O22" s="123"/>
      <c r="P22" s="139"/>
      <c r="R22" s="155"/>
    </row>
    <row r="23" spans="1:18" ht="12.75">
      <c r="A23" s="162" t="s">
        <v>50</v>
      </c>
      <c r="B23" s="209"/>
      <c r="C23" s="210"/>
      <c r="D23" s="199"/>
      <c r="E23" s="178"/>
      <c r="F23" s="179"/>
      <c r="G23" s="168"/>
      <c r="H23" s="118"/>
      <c r="I23" s="151"/>
      <c r="J23" s="130"/>
      <c r="K23" s="118"/>
      <c r="L23" s="151"/>
      <c r="M23" s="130"/>
      <c r="N23" s="118"/>
      <c r="O23" s="119"/>
      <c r="P23" s="118"/>
      <c r="R23" s="156"/>
    </row>
    <row r="24" spans="1:18" ht="12.75">
      <c r="A24" s="159" t="s">
        <v>51</v>
      </c>
      <c r="B24" s="203">
        <v>22800</v>
      </c>
      <c r="C24" s="204"/>
      <c r="D24" s="196"/>
      <c r="E24" s="172">
        <v>240000</v>
      </c>
      <c r="F24" s="173">
        <f>F32*'forecast 2009-2011'!E24/1000</f>
        <v>60</v>
      </c>
      <c r="G24" s="165"/>
      <c r="H24" s="114">
        <v>155000</v>
      </c>
      <c r="I24" s="148">
        <f>I32*'forecast 2009-2011'!H24/1000</f>
        <v>38.75</v>
      </c>
      <c r="J24" s="127"/>
      <c r="K24" s="114">
        <v>305000</v>
      </c>
      <c r="L24" s="148">
        <f>L32*'forecast 2009-2011'!K24/1000</f>
        <v>53.375</v>
      </c>
      <c r="M24" s="127"/>
      <c r="N24" s="114">
        <v>545000</v>
      </c>
      <c r="O24" s="148">
        <f>O32*'forecast 2009-2011'!N24/1000</f>
        <v>66.76249999999999</v>
      </c>
      <c r="P24" s="114"/>
      <c r="R24" s="156"/>
    </row>
    <row r="25" spans="1:18" ht="12.75">
      <c r="A25" s="159" t="s">
        <v>52</v>
      </c>
      <c r="B25" s="203"/>
      <c r="C25" s="204"/>
      <c r="D25" s="196"/>
      <c r="E25" s="172">
        <v>125</v>
      </c>
      <c r="F25" s="173">
        <f>F33*E25</f>
        <v>125</v>
      </c>
      <c r="G25" s="165">
        <v>140</v>
      </c>
      <c r="H25" s="114">
        <v>44</v>
      </c>
      <c r="I25" s="148">
        <f>I33*H25</f>
        <v>22</v>
      </c>
      <c r="J25" s="127">
        <f>G25+H25</f>
        <v>184</v>
      </c>
      <c r="K25" s="114">
        <v>124</v>
      </c>
      <c r="L25" s="148">
        <f>L33*K25</f>
        <v>62</v>
      </c>
      <c r="M25" s="127">
        <f>J25+K25</f>
        <v>308</v>
      </c>
      <c r="N25" s="114">
        <v>169</v>
      </c>
      <c r="O25" s="148">
        <f>O33*N25</f>
        <v>84.5</v>
      </c>
      <c r="P25" s="183">
        <f>M25+N25</f>
        <v>477</v>
      </c>
      <c r="R25" s="156"/>
    </row>
    <row r="26" spans="1:18" ht="12.75">
      <c r="A26" s="159" t="s">
        <v>53</v>
      </c>
      <c r="B26" s="203">
        <v>115</v>
      </c>
      <c r="C26" s="204"/>
      <c r="D26" s="196"/>
      <c r="E26" s="172">
        <v>12</v>
      </c>
      <c r="F26" s="173">
        <f>F34*'forecast 2009-2011'!E26</f>
        <v>2.04</v>
      </c>
      <c r="G26" s="165">
        <v>162</v>
      </c>
      <c r="H26" s="114">
        <v>190</v>
      </c>
      <c r="I26" s="148">
        <f>I34*'forecast 2009-2011'!H26</f>
        <v>14.059999999999999</v>
      </c>
      <c r="J26" s="127">
        <f>G26+H26</f>
        <v>352</v>
      </c>
      <c r="K26" s="114">
        <v>276</v>
      </c>
      <c r="L26" s="148">
        <f>L34*'forecast 2009-2011'!K26</f>
        <v>20.424</v>
      </c>
      <c r="M26" s="127">
        <f>J26+K26</f>
        <v>628</v>
      </c>
      <c r="N26" s="114">
        <v>300</v>
      </c>
      <c r="O26" s="148">
        <f>O34*'forecast 2009-2011'!N26</f>
        <v>22.2</v>
      </c>
      <c r="P26" s="183">
        <f>M26+N26</f>
        <v>928</v>
      </c>
      <c r="R26" s="156"/>
    </row>
    <row r="27" spans="1:18" ht="12.75">
      <c r="A27" s="160" t="s">
        <v>41</v>
      </c>
      <c r="B27" s="205"/>
      <c r="C27" s="206">
        <v>58</v>
      </c>
      <c r="D27" s="197"/>
      <c r="E27" s="174"/>
      <c r="F27" s="175">
        <f>SUM(F24:F26)</f>
        <v>187.04</v>
      </c>
      <c r="G27" s="166"/>
      <c r="H27" s="120"/>
      <c r="I27" s="149">
        <f>SUM(I24:I26)</f>
        <v>74.81</v>
      </c>
      <c r="J27" s="128"/>
      <c r="K27" s="120" t="s">
        <v>29</v>
      </c>
      <c r="L27" s="149">
        <f>SUM(L24:L26)</f>
        <v>135.799</v>
      </c>
      <c r="M27" s="128"/>
      <c r="N27" s="120"/>
      <c r="O27" s="149">
        <f>SUM(O24:O26)</f>
        <v>173.46249999999998</v>
      </c>
      <c r="P27" s="138"/>
      <c r="R27" s="155"/>
    </row>
    <row r="28" spans="1:18" ht="12.75">
      <c r="A28" s="113"/>
      <c r="B28" s="211"/>
      <c r="C28" s="212"/>
      <c r="D28" s="127"/>
      <c r="E28" s="172"/>
      <c r="F28" s="173"/>
      <c r="G28" s="165"/>
      <c r="H28" s="114"/>
      <c r="I28" s="148"/>
      <c r="J28" s="127"/>
      <c r="K28" s="114"/>
      <c r="L28" s="148"/>
      <c r="M28" s="127"/>
      <c r="N28" s="114"/>
      <c r="O28" s="115"/>
      <c r="P28" s="114"/>
      <c r="R28" s="156"/>
    </row>
    <row r="29" spans="1:18" ht="13.5" thickBot="1">
      <c r="A29" s="163" t="s">
        <v>43</v>
      </c>
      <c r="B29" s="213"/>
      <c r="C29" s="181">
        <f>C21+C27</f>
        <v>103</v>
      </c>
      <c r="D29" s="200"/>
      <c r="E29" s="180"/>
      <c r="F29" s="181">
        <f>F21+F27</f>
        <v>231.11602739726027</v>
      </c>
      <c r="G29" s="169"/>
      <c r="H29" s="121"/>
      <c r="I29" s="152">
        <f>I21+I27</f>
        <v>219.6094520547945</v>
      </c>
      <c r="J29" s="132"/>
      <c r="K29" s="121"/>
      <c r="L29" s="152">
        <f>L21+L27</f>
        <v>280.96379452054794</v>
      </c>
      <c r="M29" s="132"/>
      <c r="N29" s="121"/>
      <c r="O29" s="152">
        <f>O21+O27</f>
        <v>288.29919863013697</v>
      </c>
      <c r="P29" s="140"/>
      <c r="Q29" s="182"/>
      <c r="R29" s="155"/>
    </row>
    <row r="30" ht="13.5" thickTop="1"/>
    <row r="31" spans="1:4" ht="12.75">
      <c r="A31" s="141" t="s">
        <v>44</v>
      </c>
      <c r="B31" s="141"/>
      <c r="C31" s="141"/>
      <c r="D31" s="141"/>
    </row>
    <row r="32" spans="1:15" ht="12.75" customHeight="1">
      <c r="A32" t="s">
        <v>33</v>
      </c>
      <c r="F32">
        <v>0.25</v>
      </c>
      <c r="I32">
        <f>F32</f>
        <v>0.25</v>
      </c>
      <c r="L32">
        <f>I32*0.7</f>
        <v>0.175</v>
      </c>
      <c r="O32">
        <f>L32*0.7</f>
        <v>0.12249999999999998</v>
      </c>
    </row>
    <row r="33" spans="1:15" ht="12.75">
      <c r="A33" t="s">
        <v>34</v>
      </c>
      <c r="F33">
        <v>1</v>
      </c>
      <c r="I33">
        <v>0.5</v>
      </c>
      <c r="L33">
        <f>I33</f>
        <v>0.5</v>
      </c>
      <c r="O33">
        <f>L33</f>
        <v>0.5</v>
      </c>
    </row>
    <row r="34" spans="1:15" ht="11.25" customHeight="1">
      <c r="A34" t="s">
        <v>35</v>
      </c>
      <c r="F34">
        <v>0.17</v>
      </c>
      <c r="I34">
        <v>0.074</v>
      </c>
      <c r="L34">
        <f>I34</f>
        <v>0.074</v>
      </c>
      <c r="O34">
        <f>L34</f>
        <v>0.074</v>
      </c>
    </row>
    <row r="35" spans="1:4" ht="12.75">
      <c r="A35" s="188"/>
      <c r="B35" s="188"/>
      <c r="C35" s="188"/>
      <c r="D35" s="188"/>
    </row>
    <row r="36" spans="1:16" ht="12.75">
      <c r="A36" s="222" t="s">
        <v>60</v>
      </c>
      <c r="B36" s="221"/>
      <c r="C36" s="222">
        <v>80</v>
      </c>
      <c r="D36" s="222"/>
      <c r="E36" s="222"/>
      <c r="F36" s="222">
        <v>120</v>
      </c>
      <c r="G36" s="222"/>
      <c r="H36" s="222"/>
      <c r="I36" s="222">
        <v>200</v>
      </c>
      <c r="J36" s="222"/>
      <c r="K36" s="222"/>
      <c r="L36" s="222">
        <v>250</v>
      </c>
      <c r="M36" s="222"/>
      <c r="N36" s="222"/>
      <c r="O36" s="222"/>
      <c r="P36" s="222"/>
    </row>
    <row r="37" spans="1:9" ht="12.75">
      <c r="A37" s="193" t="s">
        <v>56</v>
      </c>
      <c r="B37" s="193"/>
      <c r="C37" s="193">
        <v>40</v>
      </c>
      <c r="D37" s="193"/>
      <c r="F37">
        <v>40</v>
      </c>
      <c r="I37">
        <v>120</v>
      </c>
    </row>
    <row r="38" spans="1:9" ht="12.75">
      <c r="A38" s="193" t="s">
        <v>57</v>
      </c>
      <c r="B38" s="193"/>
      <c r="C38" s="193">
        <v>40</v>
      </c>
      <c r="D38" s="193"/>
      <c r="F38">
        <v>80</v>
      </c>
      <c r="I38">
        <v>80</v>
      </c>
    </row>
  </sheetData>
  <sheetProtection/>
  <mergeCells count="11">
    <mergeCell ref="K16:L16"/>
    <mergeCell ref="E15:F15"/>
    <mergeCell ref="E16:F16"/>
    <mergeCell ref="N15:O15"/>
    <mergeCell ref="N16:O16"/>
    <mergeCell ref="B15:C15"/>
    <mergeCell ref="Q15:R15"/>
    <mergeCell ref="Q16:R16"/>
    <mergeCell ref="H15:I15"/>
    <mergeCell ref="H16:I16"/>
    <mergeCell ref="K15:L1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3">
      <selection activeCell="C30" sqref="C30"/>
    </sheetView>
  </sheetViews>
  <sheetFormatPr defaultColWidth="9.140625" defaultRowHeight="12.75"/>
  <cols>
    <col min="1" max="1" width="26.421875" style="3" customWidth="1"/>
    <col min="2" max="2" width="9.8515625" style="3" customWidth="1"/>
    <col min="3" max="3" width="9.140625" style="3" customWidth="1"/>
    <col min="4" max="4" width="10.7109375" style="3" bestFit="1" customWidth="1"/>
    <col min="5" max="5" width="10.140625" style="3" customWidth="1"/>
    <col min="6" max="7" width="9.140625" style="3" customWidth="1"/>
    <col min="8" max="8" width="10.140625" style="3" customWidth="1"/>
    <col min="9" max="9" width="9.140625" style="3" customWidth="1"/>
    <col min="10" max="10" width="10.140625" style="3" bestFit="1" customWidth="1"/>
    <col min="11" max="11" width="10.8515625" style="0" customWidth="1"/>
    <col min="13" max="13" width="25.8515625" style="0" customWidth="1"/>
  </cols>
  <sheetData>
    <row r="1" spans="1:14" ht="12.75">
      <c r="A1" s="246" t="s">
        <v>10</v>
      </c>
      <c r="B1" s="247"/>
      <c r="C1" s="247"/>
      <c r="D1" s="247"/>
      <c r="E1" s="247"/>
      <c r="F1" s="247"/>
      <c r="G1" s="247"/>
      <c r="H1" s="247"/>
      <c r="I1" s="247"/>
      <c r="J1" s="247"/>
      <c r="K1" s="1"/>
      <c r="L1" s="1"/>
      <c r="M1" s="1"/>
      <c r="N1" s="1"/>
    </row>
    <row r="2" ht="13.5" thickBot="1"/>
    <row r="3" spans="1:14" ht="13.5" thickTop="1">
      <c r="A3" s="4"/>
      <c r="B3" s="248" t="s">
        <v>3</v>
      </c>
      <c r="C3" s="249"/>
      <c r="D3" s="250"/>
      <c r="E3" s="251" t="s">
        <v>5</v>
      </c>
      <c r="F3" s="252"/>
      <c r="G3" s="253"/>
      <c r="H3" s="244" t="s">
        <v>2</v>
      </c>
      <c r="I3" s="245"/>
      <c r="J3" s="228"/>
      <c r="K3" s="4"/>
      <c r="L3" s="4"/>
      <c r="M3" s="4"/>
      <c r="N3" s="4"/>
    </row>
    <row r="4" spans="1:14" ht="26.25" thickBot="1">
      <c r="A4" s="10"/>
      <c r="B4" s="23" t="s">
        <v>0</v>
      </c>
      <c r="C4" s="24" t="s">
        <v>1</v>
      </c>
      <c r="D4" s="25" t="s">
        <v>6</v>
      </c>
      <c r="E4" s="33" t="s">
        <v>0</v>
      </c>
      <c r="F4" s="34" t="s">
        <v>1</v>
      </c>
      <c r="G4" s="35" t="s">
        <v>6</v>
      </c>
      <c r="H4" s="18" t="s">
        <v>0</v>
      </c>
      <c r="I4" s="8" t="s">
        <v>1</v>
      </c>
      <c r="J4" s="11" t="s">
        <v>6</v>
      </c>
      <c r="K4" s="4"/>
      <c r="L4" s="4"/>
      <c r="M4" s="4"/>
      <c r="N4" s="4"/>
    </row>
    <row r="5" spans="1:14" ht="13.5" thickTop="1">
      <c r="A5" s="79">
        <v>2004</v>
      </c>
      <c r="B5" s="26"/>
      <c r="C5" s="26"/>
      <c r="D5" s="27"/>
      <c r="E5" s="36"/>
      <c r="F5" s="37"/>
      <c r="G5" s="38"/>
      <c r="H5" s="19"/>
      <c r="I5" s="7"/>
      <c r="J5" s="14"/>
      <c r="K5" s="2"/>
      <c r="L5" s="2"/>
      <c r="M5" s="2"/>
      <c r="N5" s="2"/>
    </row>
    <row r="6" spans="1:10" s="59" customFormat="1" ht="12.75">
      <c r="A6" s="52" t="s">
        <v>12</v>
      </c>
      <c r="B6" s="53"/>
      <c r="C6" s="53">
        <v>4166</v>
      </c>
      <c r="D6" s="70"/>
      <c r="E6" s="54"/>
      <c r="F6" s="55">
        <v>4166</v>
      </c>
      <c r="G6" s="71"/>
      <c r="H6" s="56"/>
      <c r="I6" s="57">
        <f>C6+F6</f>
        <v>8332</v>
      </c>
      <c r="J6" s="72"/>
    </row>
    <row r="7" spans="1:10" s="59" customFormat="1" ht="12.75">
      <c r="A7" s="52" t="s">
        <v>13</v>
      </c>
      <c r="B7" s="53"/>
      <c r="C7" s="53">
        <v>17</v>
      </c>
      <c r="D7" s="70"/>
      <c r="E7" s="54"/>
      <c r="F7" s="55">
        <v>17</v>
      </c>
      <c r="G7" s="71"/>
      <c r="H7" s="56"/>
      <c r="I7" s="57">
        <v>34</v>
      </c>
      <c r="J7" s="72"/>
    </row>
    <row r="8" spans="1:10" ht="13.5" thickBot="1">
      <c r="A8" s="12" t="s">
        <v>4</v>
      </c>
      <c r="B8" s="30"/>
      <c r="C8" s="30"/>
      <c r="D8" s="31"/>
      <c r="E8" s="42"/>
      <c r="F8" s="43"/>
      <c r="G8" s="44"/>
      <c r="H8" s="21"/>
      <c r="I8" s="12"/>
      <c r="J8" s="16"/>
    </row>
    <row r="9" spans="1:10" ht="14.25" thickBot="1" thickTop="1">
      <c r="A9" s="13" t="s">
        <v>7</v>
      </c>
      <c r="B9" s="32"/>
      <c r="C9" s="32"/>
      <c r="D9" s="47">
        <v>15</v>
      </c>
      <c r="E9" s="45"/>
      <c r="F9" s="46"/>
      <c r="G9" s="48">
        <v>15</v>
      </c>
      <c r="H9" s="22"/>
      <c r="I9" s="13"/>
      <c r="J9" s="17">
        <f>D9+G9</f>
        <v>30</v>
      </c>
    </row>
    <row r="10" spans="1:14" ht="27" thickBot="1" thickTop="1">
      <c r="A10" s="9">
        <v>2005</v>
      </c>
      <c r="B10" s="23" t="s">
        <v>0</v>
      </c>
      <c r="C10" s="24" t="s">
        <v>1</v>
      </c>
      <c r="D10" s="25" t="s">
        <v>6</v>
      </c>
      <c r="E10" s="33" t="s">
        <v>0</v>
      </c>
      <c r="F10" s="34" t="s">
        <v>1</v>
      </c>
      <c r="G10" s="35" t="s">
        <v>6</v>
      </c>
      <c r="H10" s="18" t="s">
        <v>0</v>
      </c>
      <c r="I10" s="8" t="s">
        <v>1</v>
      </c>
      <c r="J10" s="11" t="s">
        <v>6</v>
      </c>
      <c r="K10" s="4"/>
      <c r="L10" s="4"/>
      <c r="M10" s="4"/>
      <c r="N10" s="4"/>
    </row>
    <row r="11" spans="1:10" ht="13.5" thickTop="1">
      <c r="A11" s="52" t="s">
        <v>12</v>
      </c>
      <c r="B11" s="28">
        <v>4583</v>
      </c>
      <c r="C11" s="28">
        <v>675</v>
      </c>
      <c r="D11" s="29">
        <v>1</v>
      </c>
      <c r="E11" s="39">
        <v>4583</v>
      </c>
      <c r="F11" s="40">
        <v>4580</v>
      </c>
      <c r="G11" s="41">
        <v>6</v>
      </c>
      <c r="H11" s="20">
        <f>B11+E11</f>
        <v>9166</v>
      </c>
      <c r="I11" s="6">
        <v>7075</v>
      </c>
      <c r="J11" s="15">
        <f>D11+G11</f>
        <v>7</v>
      </c>
    </row>
    <row r="12" spans="1:10" ht="12.75">
      <c r="A12" s="52" t="s">
        <v>13</v>
      </c>
      <c r="B12" s="28">
        <v>25</v>
      </c>
      <c r="C12" s="28">
        <v>10</v>
      </c>
      <c r="D12" s="29">
        <v>8</v>
      </c>
      <c r="E12" s="39">
        <v>25</v>
      </c>
      <c r="F12" s="40">
        <v>10</v>
      </c>
      <c r="G12" s="41">
        <v>3</v>
      </c>
      <c r="H12" s="20">
        <f>B12+E12</f>
        <v>50</v>
      </c>
      <c r="I12" s="6">
        <f>C12+F12</f>
        <v>20</v>
      </c>
      <c r="J12" s="15">
        <f>D12+G12</f>
        <v>11</v>
      </c>
    </row>
    <row r="13" spans="1:10" ht="26.25" thickBot="1">
      <c r="A13" s="62" t="s">
        <v>4</v>
      </c>
      <c r="B13" s="30"/>
      <c r="C13" s="30"/>
      <c r="D13" s="31"/>
      <c r="E13" s="42"/>
      <c r="F13" s="43" t="s">
        <v>8</v>
      </c>
      <c r="G13" s="44">
        <v>14</v>
      </c>
      <c r="H13" s="21"/>
      <c r="I13" s="12"/>
      <c r="J13" s="16">
        <f>D13+G13</f>
        <v>14</v>
      </c>
    </row>
    <row r="14" spans="1:10" ht="14.25" thickBot="1" thickTop="1">
      <c r="A14" s="13" t="s">
        <v>7</v>
      </c>
      <c r="B14" s="32"/>
      <c r="C14" s="32"/>
      <c r="D14" s="47">
        <f>SUM(D11:D13)</f>
        <v>9</v>
      </c>
      <c r="E14" s="45"/>
      <c r="F14" s="46"/>
      <c r="G14" s="48">
        <f>SUM(G11:G13)</f>
        <v>23</v>
      </c>
      <c r="H14" s="22"/>
      <c r="I14" s="13"/>
      <c r="J14" s="17">
        <f>D14+G14</f>
        <v>32</v>
      </c>
    </row>
    <row r="15" spans="1:14" ht="27" thickBot="1" thickTop="1">
      <c r="A15" s="9">
        <v>2006</v>
      </c>
      <c r="B15" s="23" t="s">
        <v>0</v>
      </c>
      <c r="C15" s="24" t="s">
        <v>1</v>
      </c>
      <c r="D15" s="25" t="s">
        <v>6</v>
      </c>
      <c r="E15" s="33" t="s">
        <v>0</v>
      </c>
      <c r="F15" s="34" t="s">
        <v>1</v>
      </c>
      <c r="G15" s="35" t="s">
        <v>6</v>
      </c>
      <c r="H15" s="18" t="s">
        <v>0</v>
      </c>
      <c r="I15" s="8" t="s">
        <v>1</v>
      </c>
      <c r="J15" s="11" t="s">
        <v>6</v>
      </c>
      <c r="K15" s="4"/>
      <c r="L15" s="4"/>
      <c r="M15" s="4"/>
      <c r="N15" s="4"/>
    </row>
    <row r="16" spans="1:11" s="59" customFormat="1" ht="26.25" thickTop="1">
      <c r="A16" s="52" t="s">
        <v>12</v>
      </c>
      <c r="B16" s="53">
        <v>7000</v>
      </c>
      <c r="C16" s="81">
        <v>1300</v>
      </c>
      <c r="D16" s="82">
        <v>1.56</v>
      </c>
      <c r="E16" s="83">
        <v>6000</v>
      </c>
      <c r="F16" s="84">
        <v>5064</v>
      </c>
      <c r="G16" s="85">
        <v>6.1</v>
      </c>
      <c r="H16" s="86">
        <f aca="true" t="shared" si="0" ref="H16:J17">B16+E16</f>
        <v>13000</v>
      </c>
      <c r="I16" s="87">
        <f t="shared" si="0"/>
        <v>6364</v>
      </c>
      <c r="J16" s="88">
        <f t="shared" si="0"/>
        <v>7.66</v>
      </c>
      <c r="K16" s="61" t="s">
        <v>15</v>
      </c>
    </row>
    <row r="17" spans="1:11" s="59" customFormat="1" ht="25.5">
      <c r="A17" s="52" t="s">
        <v>13</v>
      </c>
      <c r="B17" s="53">
        <v>67</v>
      </c>
      <c r="C17" s="81">
        <v>21.1</v>
      </c>
      <c r="D17" s="82">
        <v>8.59</v>
      </c>
      <c r="E17" s="83">
        <v>67</v>
      </c>
      <c r="F17" s="84">
        <v>27.4</v>
      </c>
      <c r="G17" s="85">
        <v>9.86</v>
      </c>
      <c r="H17" s="86">
        <f t="shared" si="0"/>
        <v>134</v>
      </c>
      <c r="I17" s="87">
        <f t="shared" si="0"/>
        <v>48.5</v>
      </c>
      <c r="J17" s="88">
        <f t="shared" si="0"/>
        <v>18.45</v>
      </c>
      <c r="K17" s="61" t="s">
        <v>14</v>
      </c>
    </row>
    <row r="18" spans="1:10" s="59" customFormat="1" ht="39" thickBot="1">
      <c r="A18" s="62" t="s">
        <v>4</v>
      </c>
      <c r="B18" s="63"/>
      <c r="C18" s="63"/>
      <c r="D18" s="64"/>
      <c r="E18" s="65"/>
      <c r="F18" s="66" t="s">
        <v>9</v>
      </c>
      <c r="G18" s="67">
        <v>14</v>
      </c>
      <c r="H18" s="68"/>
      <c r="I18" s="62"/>
      <c r="J18" s="69">
        <f>D18+G18</f>
        <v>14</v>
      </c>
    </row>
    <row r="19" spans="1:10" ht="14.25" thickBot="1" thickTop="1">
      <c r="A19" s="13" t="s">
        <v>7</v>
      </c>
      <c r="B19" s="32"/>
      <c r="C19" s="32"/>
      <c r="D19" s="47">
        <f>SUM(D16:D18)</f>
        <v>10.15</v>
      </c>
      <c r="E19" s="45"/>
      <c r="F19" s="46"/>
      <c r="G19" s="48">
        <f>SUM(G16:G18)</f>
        <v>29.96</v>
      </c>
      <c r="H19" s="22"/>
      <c r="I19" s="13"/>
      <c r="J19" s="17">
        <f>D19+G19</f>
        <v>40.11</v>
      </c>
    </row>
    <row r="20" spans="1:14" ht="27" thickBot="1" thickTop="1">
      <c r="A20" s="9">
        <v>2007</v>
      </c>
      <c r="B20" s="23" t="s">
        <v>0</v>
      </c>
      <c r="C20" s="24" t="s">
        <v>1</v>
      </c>
      <c r="D20" s="25" t="s">
        <v>6</v>
      </c>
      <c r="E20" s="33" t="s">
        <v>0</v>
      </c>
      <c r="F20" s="34" t="s">
        <v>1</v>
      </c>
      <c r="G20" s="35" t="s">
        <v>6</v>
      </c>
      <c r="H20" s="18" t="s">
        <v>0</v>
      </c>
      <c r="I20" s="8" t="s">
        <v>1</v>
      </c>
      <c r="J20" s="11" t="s">
        <v>6</v>
      </c>
      <c r="K20" s="240" t="s">
        <v>20</v>
      </c>
      <c r="L20" s="241"/>
      <c r="M20" s="241"/>
      <c r="N20" s="4"/>
    </row>
    <row r="21" spans="1:11" s="59" customFormat="1" ht="13.5" thickTop="1">
      <c r="A21" s="52" t="s">
        <v>12</v>
      </c>
      <c r="B21" s="53">
        <v>50000</v>
      </c>
      <c r="C21" s="53">
        <v>15000</v>
      </c>
      <c r="D21" s="104">
        <f>1.178*C21/1000</f>
        <v>17.67</v>
      </c>
      <c r="E21" s="54">
        <v>50000</v>
      </c>
      <c r="F21" s="55">
        <v>22800</v>
      </c>
      <c r="G21" s="107">
        <f>F21*1.178/1000</f>
        <v>26.858399999999996</v>
      </c>
      <c r="H21" s="56">
        <v>110000</v>
      </c>
      <c r="I21" s="57">
        <f>C21+F21</f>
        <v>37800</v>
      </c>
      <c r="J21" s="109">
        <f>D21+G21</f>
        <v>44.5284</v>
      </c>
      <c r="K21" s="59" t="s">
        <v>39</v>
      </c>
    </row>
    <row r="22" spans="1:13" ht="12.75">
      <c r="A22" s="5" t="s">
        <v>13</v>
      </c>
      <c r="B22" s="28">
        <v>110</v>
      </c>
      <c r="C22" s="28">
        <v>120</v>
      </c>
      <c r="D22" s="105">
        <f>0.183*C22</f>
        <v>21.96</v>
      </c>
      <c r="E22" s="39">
        <v>110</v>
      </c>
      <c r="F22" s="40">
        <v>114.5</v>
      </c>
      <c r="G22" s="108">
        <v>21</v>
      </c>
      <c r="H22" s="20">
        <f>B22+E22</f>
        <v>220</v>
      </c>
      <c r="I22" s="6">
        <f>C22+F22</f>
        <v>234.5</v>
      </c>
      <c r="J22" s="110">
        <f>D22+G22</f>
        <v>42.96</v>
      </c>
      <c r="K22" s="237" t="s">
        <v>17</v>
      </c>
      <c r="L22" s="238"/>
      <c r="M22" s="238"/>
    </row>
    <row r="23" spans="1:13" s="59" customFormat="1" ht="26.25" thickBot="1">
      <c r="A23" s="57" t="s">
        <v>4</v>
      </c>
      <c r="B23" s="53" t="s">
        <v>11</v>
      </c>
      <c r="C23" s="60"/>
      <c r="D23" s="106">
        <v>5</v>
      </c>
      <c r="E23" s="54" t="s">
        <v>16</v>
      </c>
      <c r="F23" s="55"/>
      <c r="G23" s="107">
        <v>10</v>
      </c>
      <c r="H23" s="56"/>
      <c r="I23" s="57"/>
      <c r="J23" s="109">
        <f>D23+G23</f>
        <v>15</v>
      </c>
      <c r="K23" s="237"/>
      <c r="L23" s="238"/>
      <c r="M23" s="238"/>
    </row>
    <row r="24" spans="1:11" ht="14.25" thickBot="1" thickTop="1">
      <c r="A24" s="13" t="s">
        <v>7</v>
      </c>
      <c r="B24" s="32"/>
      <c r="C24" s="49"/>
      <c r="D24" s="77">
        <f>SUM(D21:D23)</f>
        <v>44.63</v>
      </c>
      <c r="E24" s="45"/>
      <c r="F24" s="46"/>
      <c r="G24" s="78">
        <f>SUM(G21:G23)</f>
        <v>57.858399999999996</v>
      </c>
      <c r="H24" s="22"/>
      <c r="I24" s="13"/>
      <c r="J24" s="51">
        <f>D24+G24</f>
        <v>102.4884</v>
      </c>
      <c r="K24" s="98" t="s">
        <v>21</v>
      </c>
    </row>
    <row r="25" spans="1:13" ht="26.25" thickTop="1">
      <c r="A25" s="92" t="s">
        <v>19</v>
      </c>
      <c r="C25" s="3" t="s">
        <v>27</v>
      </c>
      <c r="F25" s="3" t="s">
        <v>25</v>
      </c>
      <c r="K25" s="236"/>
      <c r="L25" s="236"/>
      <c r="M25" s="236"/>
    </row>
    <row r="26" spans="1:14" ht="26.25" thickBot="1">
      <c r="A26" s="9" t="s">
        <v>18</v>
      </c>
      <c r="B26" s="23" t="s">
        <v>0</v>
      </c>
      <c r="C26" s="24" t="s">
        <v>1</v>
      </c>
      <c r="D26" s="25" t="s">
        <v>6</v>
      </c>
      <c r="E26" s="33" t="s">
        <v>0</v>
      </c>
      <c r="F26" s="34" t="s">
        <v>1</v>
      </c>
      <c r="G26" s="35" t="s">
        <v>6</v>
      </c>
      <c r="H26" s="18" t="s">
        <v>0</v>
      </c>
      <c r="I26" s="8" t="s">
        <v>1</v>
      </c>
      <c r="J26" s="11" t="s">
        <v>6</v>
      </c>
      <c r="K26" s="240" t="s">
        <v>24</v>
      </c>
      <c r="L26" s="241"/>
      <c r="M26" s="241"/>
      <c r="N26" s="4"/>
    </row>
    <row r="27" spans="1:10" s="59" customFormat="1" ht="13.5" thickTop="1">
      <c r="A27" s="52" t="s">
        <v>12</v>
      </c>
      <c r="B27" s="53">
        <v>100000</v>
      </c>
      <c r="C27" s="60">
        <v>60000</v>
      </c>
      <c r="D27" s="89">
        <f>0.533*C27/1000</f>
        <v>31.98</v>
      </c>
      <c r="E27" s="54">
        <v>120000</v>
      </c>
      <c r="F27" s="143">
        <v>240000</v>
      </c>
      <c r="G27" s="73">
        <f>0.533*F27/1000</f>
        <v>127.92</v>
      </c>
      <c r="H27" s="56">
        <f aca="true" t="shared" si="1" ref="H27:J29">B27+E27</f>
        <v>220000</v>
      </c>
      <c r="I27" s="57">
        <f t="shared" si="1"/>
        <v>300000</v>
      </c>
      <c r="J27" s="58">
        <f t="shared" si="1"/>
        <v>159.9</v>
      </c>
    </row>
    <row r="28" spans="1:13" ht="38.25">
      <c r="A28" s="5" t="s">
        <v>22</v>
      </c>
      <c r="B28" s="28">
        <v>40</v>
      </c>
      <c r="C28" s="142">
        <v>12</v>
      </c>
      <c r="D28" s="76">
        <f>C28*0.633</f>
        <v>7.596</v>
      </c>
      <c r="E28" s="39">
        <v>60</v>
      </c>
      <c r="F28" s="144">
        <v>120</v>
      </c>
      <c r="G28" s="74">
        <f>F28*0.633</f>
        <v>75.96000000000001</v>
      </c>
      <c r="H28" s="20">
        <f t="shared" si="1"/>
        <v>100</v>
      </c>
      <c r="I28" s="6">
        <f t="shared" si="1"/>
        <v>132</v>
      </c>
      <c r="J28" s="50">
        <f t="shared" si="1"/>
        <v>83.55600000000001</v>
      </c>
      <c r="K28" s="80" t="s">
        <v>26</v>
      </c>
      <c r="L28" s="3"/>
      <c r="M28" s="3"/>
    </row>
    <row r="29" spans="1:13" ht="25.5">
      <c r="A29" s="5" t="s">
        <v>23</v>
      </c>
      <c r="B29" s="28">
        <v>200</v>
      </c>
      <c r="C29" s="142">
        <v>55</v>
      </c>
      <c r="D29" s="76">
        <f>C29*0.155</f>
        <v>8.525</v>
      </c>
      <c r="E29" s="39">
        <v>50</v>
      </c>
      <c r="F29" s="144">
        <v>12</v>
      </c>
      <c r="G29" s="74">
        <f>F29*0.155</f>
        <v>1.8599999999999999</v>
      </c>
      <c r="H29" s="20">
        <f t="shared" si="1"/>
        <v>250</v>
      </c>
      <c r="I29" s="6">
        <f t="shared" si="1"/>
        <v>67</v>
      </c>
      <c r="J29" s="50">
        <f t="shared" si="1"/>
        <v>10.385</v>
      </c>
      <c r="K29" s="80"/>
      <c r="L29" s="3"/>
      <c r="M29" s="3"/>
    </row>
    <row r="30" spans="1:13" s="59" customFormat="1" ht="48.75" customHeight="1" thickBot="1">
      <c r="A30" s="57" t="s">
        <v>4</v>
      </c>
      <c r="B30" s="53"/>
      <c r="C30" s="60"/>
      <c r="D30" s="75"/>
      <c r="E30" s="54" t="s">
        <v>11</v>
      </c>
      <c r="F30" s="55">
        <v>5</v>
      </c>
      <c r="G30" s="73">
        <f>F30*0.633</f>
        <v>3.165</v>
      </c>
      <c r="H30" s="56"/>
      <c r="I30" s="57"/>
      <c r="J30" s="58">
        <f>D30+G30</f>
        <v>3.165</v>
      </c>
      <c r="K30" s="242"/>
      <c r="L30" s="243"/>
      <c r="M30" s="243"/>
    </row>
    <row r="31" spans="1:13" ht="14.25" thickBot="1" thickTop="1">
      <c r="A31" s="13" t="s">
        <v>7</v>
      </c>
      <c r="B31" s="32"/>
      <c r="C31" s="49"/>
      <c r="D31" s="77">
        <f>SUM(D27:D30)</f>
        <v>48.101</v>
      </c>
      <c r="E31" s="45"/>
      <c r="F31" s="46"/>
      <c r="G31" s="78">
        <f>SUM(G27:G30)</f>
        <v>208.905</v>
      </c>
      <c r="H31" s="22"/>
      <c r="I31" s="13"/>
      <c r="J31" s="90">
        <f>SUM(J27:J30)</f>
        <v>257.00600000000003</v>
      </c>
      <c r="K31" s="97" t="s">
        <v>38</v>
      </c>
      <c r="L31" s="91"/>
      <c r="M31" s="91"/>
    </row>
    <row r="32" spans="1:13" ht="14.25" thickBot="1" thickTop="1">
      <c r="A32" s="99"/>
      <c r="B32" s="94"/>
      <c r="C32" s="95"/>
      <c r="D32" s="96"/>
      <c r="E32" s="100"/>
      <c r="F32" s="101"/>
      <c r="G32" s="102"/>
      <c r="H32" s="103"/>
      <c r="I32" s="145"/>
      <c r="J32" s="147"/>
      <c r="K32" s="97"/>
      <c r="L32" s="91"/>
      <c r="M32" s="91"/>
    </row>
    <row r="33" spans="1:14" ht="14.25" thickBot="1" thickTop="1">
      <c r="A33" s="9"/>
      <c r="B33" s="23"/>
      <c r="C33" s="24"/>
      <c r="D33" s="25"/>
      <c r="E33" s="33"/>
      <c r="F33" s="34"/>
      <c r="G33" s="35"/>
      <c r="H33" s="18"/>
      <c r="I33" s="8"/>
      <c r="J33" s="146"/>
      <c r="K33" s="240"/>
      <c r="L33" s="241"/>
      <c r="M33" s="241"/>
      <c r="N33" s="4"/>
    </row>
    <row r="34" spans="1:10" s="59" customFormat="1" ht="13.5" thickTop="1">
      <c r="A34" s="52"/>
      <c r="B34" s="53"/>
      <c r="C34" s="53"/>
      <c r="D34" s="89"/>
      <c r="E34" s="54"/>
      <c r="F34" s="55"/>
      <c r="G34" s="73"/>
      <c r="H34" s="56"/>
      <c r="I34" s="57"/>
      <c r="J34" s="58"/>
    </row>
    <row r="35" spans="1:13" ht="12.75">
      <c r="A35" s="5"/>
      <c r="B35" s="28"/>
      <c r="C35" s="28"/>
      <c r="D35" s="76"/>
      <c r="E35" s="39"/>
      <c r="F35" s="40"/>
      <c r="G35" s="74"/>
      <c r="H35" s="20"/>
      <c r="I35" s="6"/>
      <c r="J35" s="50"/>
      <c r="K35" s="237"/>
      <c r="L35" s="238"/>
      <c r="M35" s="238"/>
    </row>
    <row r="36" spans="1:13" ht="12.75">
      <c r="A36" s="5"/>
      <c r="B36" s="28"/>
      <c r="C36" s="28"/>
      <c r="D36" s="76"/>
      <c r="E36" s="39"/>
      <c r="F36" s="40"/>
      <c r="G36" s="74"/>
      <c r="H36" s="20"/>
      <c r="I36" s="6"/>
      <c r="J36" s="50"/>
      <c r="K36" s="237"/>
      <c r="L36" s="238"/>
      <c r="M36" s="238"/>
    </row>
    <row r="37" spans="1:13" s="59" customFormat="1" ht="13.5" thickBot="1">
      <c r="A37" s="57"/>
      <c r="B37" s="53"/>
      <c r="C37" s="60"/>
      <c r="D37" s="75"/>
      <c r="E37" s="54"/>
      <c r="F37" s="55"/>
      <c r="G37" s="73"/>
      <c r="H37" s="56"/>
      <c r="I37" s="57"/>
      <c r="J37" s="58"/>
      <c r="K37" s="237"/>
      <c r="L37" s="238"/>
      <c r="M37" s="238"/>
    </row>
    <row r="38" spans="1:10" ht="14.25" thickBot="1" thickTop="1">
      <c r="A38" s="13"/>
      <c r="B38" s="32"/>
      <c r="C38" s="49"/>
      <c r="D38" s="77"/>
      <c r="E38" s="45"/>
      <c r="F38" s="46"/>
      <c r="G38" s="78"/>
      <c r="H38" s="22"/>
      <c r="I38" s="13"/>
      <c r="J38" s="51"/>
    </row>
    <row r="39" ht="13.5" thickTop="1"/>
    <row r="40" ht="13.5" customHeight="1"/>
    <row r="42" spans="1:10" ht="36.75" customHeight="1">
      <c r="A42" s="239" t="s">
        <v>28</v>
      </c>
      <c r="B42" s="238"/>
      <c r="C42" s="238"/>
      <c r="D42" s="238"/>
      <c r="E42" s="238"/>
      <c r="F42" s="238"/>
      <c r="G42" s="238"/>
      <c r="H42" s="238"/>
      <c r="I42" s="238"/>
      <c r="J42" s="238"/>
    </row>
  </sheetData>
  <sheetProtection/>
  <mergeCells count="12">
    <mergeCell ref="K22:M23"/>
    <mergeCell ref="H3:J3"/>
    <mergeCell ref="A1:J1"/>
    <mergeCell ref="B3:D3"/>
    <mergeCell ref="E3:G3"/>
    <mergeCell ref="K20:M20"/>
    <mergeCell ref="K35:M37"/>
    <mergeCell ref="A42:J42"/>
    <mergeCell ref="K26:M26"/>
    <mergeCell ref="K25:M25"/>
    <mergeCell ref="K30:M30"/>
    <mergeCell ref="K33:M33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2008-10-14T14:00:31Z</cp:lastPrinted>
  <dcterms:created xsi:type="dcterms:W3CDTF">1996-10-14T23:33:28Z</dcterms:created>
  <dcterms:modified xsi:type="dcterms:W3CDTF">2009-10-29T15:13:55Z</dcterms:modified>
  <cp:category/>
  <cp:version/>
  <cp:contentType/>
  <cp:contentStatus/>
</cp:coreProperties>
</file>