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55" windowWidth="22335" windowHeight="10545"/>
  </bookViews>
  <sheets>
    <sheet name="2013EGO Status" sheetId="3" r:id="rId1"/>
  </sheets>
  <definedNames>
    <definedName name="_xlnm.Print_Area" localSheetId="0">'2013EGO Status'!$A$2:$AM$46</definedName>
  </definedNames>
  <calcPr calcId="125725" concurrentCalc="0"/>
  <fileRecoveryPr repairLoad="1"/>
</workbook>
</file>

<file path=xl/calcChain.xml><?xml version="1.0" encoding="utf-8"?>
<calcChain xmlns="http://schemas.openxmlformats.org/spreadsheetml/2006/main">
  <c r="S14" i="3"/>
  <c r="AI13"/>
  <c r="AJ32"/>
  <c r="AI32"/>
  <c r="AF32"/>
  <c r="Z32"/>
  <c r="Z13"/>
  <c r="Y20"/>
  <c r="Y13"/>
  <c r="S11"/>
  <c r="AB13"/>
  <c r="AJ21"/>
  <c r="AJ20"/>
  <c r="AJ19"/>
  <c r="AJ14"/>
  <c r="AJ13"/>
  <c r="AK12"/>
  <c r="AJ12"/>
  <c r="AJ22"/>
  <c r="AJ15"/>
  <c r="AB21"/>
  <c r="AJ24"/>
  <c r="AF13"/>
  <c r="AE12"/>
  <c r="Y14"/>
  <c r="AE21"/>
  <c r="AH21"/>
  <c r="AK21"/>
  <c r="Y21"/>
  <c r="V21"/>
  <c r="AF20"/>
  <c r="AC20"/>
  <c r="AG21"/>
  <c r="AA21"/>
  <c r="X14"/>
  <c r="U33"/>
  <c r="U21"/>
  <c r="W32"/>
  <c r="X13"/>
  <c r="X32"/>
  <c r="AA32"/>
  <c r="AE13"/>
  <c r="AH13"/>
  <c r="AK13"/>
  <c r="AE20"/>
  <c r="AH20"/>
  <c r="AK20"/>
  <c r="V20"/>
  <c r="AC13"/>
  <c r="AD21"/>
  <c r="W29"/>
  <c r="X19"/>
  <c r="U19"/>
  <c r="V12"/>
  <c r="X21"/>
  <c r="U20"/>
  <c r="U14"/>
  <c r="U13"/>
  <c r="AB14"/>
  <c r="AE14"/>
  <c r="AH14"/>
  <c r="AK14"/>
  <c r="X20"/>
  <c r="X22"/>
  <c r="AA20"/>
  <c r="AD32"/>
  <c r="X12"/>
  <c r="X15"/>
  <c r="AH12"/>
  <c r="AD12"/>
  <c r="AG12"/>
  <c r="U12"/>
  <c r="U15"/>
  <c r="U24"/>
  <c r="U22"/>
  <c r="U44"/>
  <c r="AA12"/>
  <c r="S44"/>
  <c r="R12"/>
  <c r="R14"/>
  <c r="R13"/>
  <c r="R21"/>
  <c r="R20"/>
  <c r="R19"/>
  <c r="AA14"/>
  <c r="AA13"/>
  <c r="AC32"/>
  <c r="AD20"/>
  <c r="AG32"/>
  <c r="AG20"/>
  <c r="AA19"/>
  <c r="AA22"/>
  <c r="X24"/>
  <c r="T44"/>
  <c r="V44"/>
  <c r="R15"/>
  <c r="R22"/>
  <c r="AA15"/>
  <c r="AA24"/>
  <c r="AD14"/>
  <c r="AG14"/>
  <c r="AG13"/>
  <c r="AD13"/>
  <c r="AD15"/>
  <c r="AD19"/>
  <c r="AD22"/>
  <c r="AG19"/>
  <c r="AG22"/>
  <c r="R24"/>
  <c r="P44"/>
  <c r="O12"/>
  <c r="N11"/>
  <c r="O19"/>
  <c r="M44"/>
  <c r="L18"/>
  <c r="L14"/>
  <c r="K13"/>
  <c r="L13"/>
  <c r="G21"/>
  <c r="J21"/>
  <c r="M21"/>
  <c r="P21"/>
  <c r="S21"/>
  <c r="J13"/>
  <c r="M13"/>
  <c r="N13"/>
  <c r="O13"/>
  <c r="J10"/>
  <c r="K9"/>
  <c r="I13"/>
  <c r="F14"/>
  <c r="F13"/>
  <c r="O21"/>
  <c r="O20"/>
  <c r="L21"/>
  <c r="L22"/>
  <c r="L20"/>
  <c r="I21"/>
  <c r="I20"/>
  <c r="I18"/>
  <c r="I22"/>
  <c r="F21"/>
  <c r="F22"/>
  <c r="F20"/>
  <c r="F18"/>
  <c r="H11"/>
  <c r="J12"/>
  <c r="D10"/>
  <c r="G10"/>
  <c r="B11"/>
  <c r="D12"/>
  <c r="E11"/>
  <c r="G12"/>
  <c r="H14"/>
  <c r="I14"/>
  <c r="K14"/>
  <c r="K18"/>
  <c r="B19"/>
  <c r="E19"/>
  <c r="H19"/>
  <c r="M20"/>
  <c r="C24"/>
  <c r="H33"/>
  <c r="I31"/>
  <c r="F31"/>
  <c r="M14"/>
  <c r="N14"/>
  <c r="O14"/>
  <c r="AG15"/>
  <c r="AG24"/>
  <c r="AD24"/>
  <c r="F12"/>
  <c r="F15"/>
  <c r="F24"/>
  <c r="I12"/>
  <c r="I15"/>
  <c r="I24"/>
  <c r="L15"/>
  <c r="L24"/>
  <c r="O22"/>
  <c r="O15"/>
  <c r="O24"/>
</calcChain>
</file>

<file path=xl/comments1.xml><?xml version="1.0" encoding="utf-8"?>
<comments xmlns="http://schemas.openxmlformats.org/spreadsheetml/2006/main">
  <authors>
    <author>Antonella Bozzi</author>
    <author>Alberto</author>
    <author>Jacques Colas</author>
    <author>European Gravitational Observatory</author>
  </authors>
  <commentList>
    <comment ref="Q12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viene messo in manutenzione 1/4 dei 1240 HS06 che abbiamo dal 2008</t>
        </r>
      </text>
    </comment>
    <comment ref="T12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viene messo in manutenzione il rimanente dei 1240 HS06 che abbiamo dal 2008;</t>
        </r>
      </text>
    </comment>
    <comment ref="W12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Richiesta da parte di Virgo, di avere 8kHS06 in piu', manutenzione sui 1335 del 2011</t>
        </r>
      </text>
    </comment>
    <comment ref="Z12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viene messo in manutenzione 835 HS06 rimanenti del 2011</t>
        </r>
      </text>
    </comment>
    <comment ref="AC12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Previsione di utilizzo di 20kHS06 gia' acquistate nel 2015; da capire manutenzione su cpu del 2012</t>
        </r>
      </text>
    </comment>
    <comment ref="AD12" authorId="1">
      <text>
        <r>
          <rPr>
            <b/>
            <sz val="9"/>
            <color indexed="81"/>
            <rFont val="Tahoma"/>
            <charset val="1"/>
          </rPr>
          <t>Antonella: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12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20k0HS06 come da richiesta</t>
        </r>
      </text>
    </comment>
    <comment ref="AI12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20k0HS06 come da richiesta</t>
        </r>
      </text>
    </comment>
    <comment ref="H13" authorId="2">
      <text>
        <r>
          <rPr>
            <b/>
            <sz val="8"/>
            <color indexed="81"/>
            <rFont val="Tahoma"/>
            <family val="2"/>
          </rPr>
          <t>Jacques Colas:</t>
        </r>
        <r>
          <rPr>
            <sz val="8"/>
            <color indexed="81"/>
            <rFont val="Tahoma"/>
            <family val="2"/>
          </rPr>
          <t xml:space="preserve">
+22TB moved to 2010</t>
        </r>
      </text>
    </comment>
    <comment ref="K13" authorId="2">
      <text>
        <r>
          <rPr>
            <b/>
            <sz val="8"/>
            <color indexed="81"/>
            <rFont val="Tahoma"/>
            <family val="2"/>
          </rPr>
          <t>Jacques Colas:</t>
        </r>
        <r>
          <rPr>
            <sz val="8"/>
            <color indexed="81"/>
            <rFont val="Tahoma"/>
            <family val="2"/>
          </rPr>
          <t xml:space="preserve">
includes 22TB from 2009
return 90 TB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40TB restituiti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maintenance 50TB</t>
        </r>
      </text>
    </comment>
    <comment ref="T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30TB richiesti per gpfs_virgo3 70TB manutenzione disco esistente a fine 2008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70TB manutenzione disco esistente a fine 2009?</t>
        </r>
      </text>
    </comment>
    <comment ref="Z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70TB manutenzione disco esistente a fine 2010? 20TB richiesti</t>
        </r>
      </text>
    </comment>
    <comment ref="AC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450TB new e 70TB manutenzione disco esistente a fine 2011?</t>
        </r>
      </text>
    </comment>
    <comment ref="AF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70TB manutenzione disco esistente a fine 2012?</t>
        </r>
      </text>
    </comment>
    <comment ref="AI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7TB manutenzione disco esistente a fine 2013?</t>
        </r>
      </text>
    </comment>
    <comment ref="K14" authorId="2">
      <text>
        <r>
          <rPr>
            <b/>
            <sz val="8"/>
            <color indexed="81"/>
            <rFont val="Tahoma"/>
            <family val="2"/>
          </rPr>
          <t>Jacques Colas:</t>
        </r>
        <r>
          <rPr>
            <sz val="8"/>
            <color indexed="81"/>
            <rFont val="Tahoma"/>
            <family val="2"/>
          </rPr>
          <t xml:space="preserve">
tape to start moving VSR2</t>
        </r>
      </text>
    </comment>
    <comment ref="T14" authorId="0">
      <text>
        <r>
          <rPr>
            <b/>
            <sz val="9"/>
            <color indexed="81"/>
            <rFont val="Tahoma"/>
            <charset val="1"/>
          </rPr>
          <t>Antonella Bozzi:</t>
        </r>
        <r>
          <rPr>
            <sz val="9"/>
            <color indexed="81"/>
            <rFont val="Tahoma"/>
            <charset val="1"/>
          </rPr>
          <t xml:space="preserve">
Pagati lo scorso anno 110TB di tape, non ancora utilizzati</t>
        </r>
      </text>
    </comment>
    <comment ref="Z14" authorId="3">
      <text>
        <r>
          <rPr>
            <b/>
            <sz val="8"/>
            <color indexed="81"/>
            <rFont val="Tahoma"/>
            <family val="2"/>
          </rPr>
          <t>European Gravitational Observatory: 20TB LSC RDS +AdV commisioning runs (15gg)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maintenance 50TB</t>
        </r>
      </text>
    </comment>
    <comment ref="T20" authorId="3">
      <text>
        <r>
          <rPr>
            <b/>
            <sz val="9"/>
            <color indexed="81"/>
            <rFont val="Tahoma"/>
            <family val="2"/>
          </rPr>
          <t>Antonella Bozzi</t>
        </r>
        <r>
          <rPr>
            <sz val="9"/>
            <color indexed="81"/>
            <rFont val="Tahoma"/>
            <family val="2"/>
          </rPr>
          <t xml:space="preserve">
maintenance 50TB</t>
        </r>
      </text>
    </comment>
    <comment ref="W20" authorId="3">
      <text>
        <r>
          <rPr>
            <b/>
            <sz val="9"/>
            <color indexed="81"/>
            <rFont val="Tahoma"/>
            <family val="2"/>
          </rPr>
          <t>Antonella Bozzi</t>
        </r>
        <r>
          <rPr>
            <sz val="9"/>
            <color indexed="81"/>
            <rFont val="Tahoma"/>
            <family val="2"/>
          </rPr>
          <t xml:space="preserve">
maintencance 50TB + 5TB richiesti 
</t>
        </r>
      </text>
    </comment>
    <comment ref="Z20" authorId="3">
      <text>
        <r>
          <rPr>
            <b/>
            <sz val="9"/>
            <color indexed="81"/>
            <rFont val="Tahoma"/>
            <family val="2"/>
          </rPr>
          <t>Antonella Bozzi</t>
        </r>
        <r>
          <rPr>
            <sz val="9"/>
            <color indexed="81"/>
            <rFont val="Tahoma"/>
            <family val="2"/>
          </rPr>
          <t xml:space="preserve">
maintenance 50TB? +20TiB richiesti</t>
        </r>
      </text>
    </comment>
    <comment ref="AC20" authorId="3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500TB new e maintenance 50TB?</t>
        </r>
      </text>
    </comment>
    <comment ref="AF20" authorId="3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50TB new e maintencance 50TB?</t>
        </r>
      </text>
    </comment>
    <comment ref="Q21" authorId="1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80 TB trasferimento da LIGO</t>
        </r>
      </text>
    </comment>
  </commentList>
</comments>
</file>

<file path=xl/sharedStrings.xml><?xml version="1.0" encoding="utf-8"?>
<sst xmlns="http://schemas.openxmlformats.org/spreadsheetml/2006/main" count="109" uniqueCount="41">
  <si>
    <t>Total</t>
  </si>
  <si>
    <t>cost (KE)</t>
  </si>
  <si>
    <t xml:space="preserve"> </t>
  </si>
  <si>
    <t>Data production (Virgo+LSC) TB</t>
  </si>
  <si>
    <t>KSI2K.day cost</t>
  </si>
  <si>
    <t>status</t>
  </si>
  <si>
    <t xml:space="preserve"> status</t>
  </si>
  <si>
    <r>
      <t>Bologna (</t>
    </r>
    <r>
      <rPr>
        <b/>
        <i/>
        <sz val="10"/>
        <rFont val="Arial"/>
        <family val="2"/>
      </rPr>
      <t>Incremental)</t>
    </r>
  </si>
  <si>
    <t>Total cost 2 centers</t>
  </si>
  <si>
    <t>Unit costs Bologna (Euro): cost calculated as purchase of the needed yearly increment CPU power with substitution after 3 years</t>
  </si>
  <si>
    <t>Lyon</t>
  </si>
  <si>
    <t>CPU usage (KSI2K.days)</t>
  </si>
  <si>
    <t>Estimate of off-line computing cost</t>
  </si>
  <si>
    <t>Note : The billing procedure for CPU is different in Bologna and Lyon.</t>
  </si>
  <si>
    <t>Bologna</t>
  </si>
  <si>
    <t>Disk storage TB-N</t>
  </si>
  <si>
    <t>tape storage (Castor) TB-N</t>
  </si>
  <si>
    <t>CPU (used energy in KSI2K.day)</t>
  </si>
  <si>
    <t>CPU installed power(status is in KSI2K)</t>
  </si>
  <si>
    <t>CPU (used energy in HS06.day)</t>
  </si>
  <si>
    <t>CPU installed power(status is in HS06)</t>
  </si>
  <si>
    <t>CPU usage (HS06.days)</t>
  </si>
  <si>
    <t>Avg</t>
  </si>
  <si>
    <t xml:space="preserve">Total Lyon cost </t>
  </si>
  <si>
    <t xml:space="preserve">Total Bologna cost </t>
  </si>
  <si>
    <t>Unit cost</t>
  </si>
  <si>
    <t>EGO contribution to the cost (k€)</t>
  </si>
  <si>
    <t>Disk storage TiB (increment)</t>
  </si>
  <si>
    <t>tape storage (HPSS) (TiB increment)</t>
  </si>
  <si>
    <t>2014 PREVIEW</t>
  </si>
  <si>
    <t>2015 PREVIEW</t>
  </si>
  <si>
    <t>2016 PREVIEW</t>
  </si>
  <si>
    <t>2017 PREVIEW</t>
  </si>
  <si>
    <t>Unit costs Lyon (Euro) HypotHSis of 30% yearly drop in  HS06 cost</t>
  </si>
  <si>
    <t>2018 PREVIEW</t>
  </si>
  <si>
    <t>HS06 (E)</t>
  </si>
  <si>
    <t>HS06.day cost (KE)</t>
  </si>
  <si>
    <t>1 TiB = 1 TB-N = 1.1 TB</t>
  </si>
  <si>
    <t>disk TiB cost (KE)</t>
  </si>
  <si>
    <t>HPSS/Castor TiB cost (KE)</t>
  </si>
  <si>
    <t>Unit costs disk/tapes: for forecasts it is assumed a drop of 30% every 2 years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</si>
</sst>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 applyAlignment="1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Border="1"/>
    <xf numFmtId="1" fontId="0" fillId="0" borderId="4" xfId="0" applyNumberFormat="1" applyBorder="1"/>
    <xf numFmtId="0" fontId="0" fillId="2" borderId="3" xfId="0" applyFill="1" applyBorder="1"/>
    <xf numFmtId="1" fontId="2" fillId="2" borderId="4" xfId="0" applyNumberFormat="1" applyFont="1" applyFill="1" applyBorder="1"/>
    <xf numFmtId="0" fontId="0" fillId="0" borderId="3" xfId="0" applyFill="1" applyBorder="1"/>
    <xf numFmtId="1" fontId="2" fillId="0" borderId="4" xfId="0" applyNumberFormat="1" applyFont="1" applyFill="1" applyBorder="1"/>
    <xf numFmtId="0" fontId="6" fillId="0" borderId="5" xfId="0" applyFont="1" applyBorder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Fill="1" applyBorder="1" applyAlignment="1"/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0" fillId="0" borderId="9" xfId="0" applyBorder="1"/>
    <xf numFmtId="0" fontId="2" fillId="0" borderId="0" xfId="0" applyFont="1"/>
    <xf numFmtId="0" fontId="8" fillId="0" borderId="0" xfId="0" applyFont="1" applyAlignment="1">
      <alignment horizontal="justify"/>
    </xf>
    <xf numFmtId="0" fontId="5" fillId="0" borderId="0" xfId="0" applyFont="1"/>
    <xf numFmtId="0" fontId="0" fillId="0" borderId="0" xfId="0" applyFont="1"/>
    <xf numFmtId="164" fontId="0" fillId="0" borderId="0" xfId="0" applyNumberFormat="1"/>
    <xf numFmtId="0" fontId="9" fillId="0" borderId="0" xfId="0" applyFont="1" applyAlignment="1">
      <alignment horizontal="justify"/>
    </xf>
    <xf numFmtId="164" fontId="2" fillId="0" borderId="0" xfId="0" applyNumberFormat="1" applyFont="1"/>
    <xf numFmtId="0" fontId="3" fillId="0" borderId="9" xfId="0" applyFont="1" applyBorder="1"/>
    <xf numFmtId="0" fontId="0" fillId="0" borderId="11" xfId="0" applyBorder="1"/>
    <xf numFmtId="1" fontId="0" fillId="0" borderId="12" xfId="0" applyNumberFormat="1" applyBorder="1"/>
    <xf numFmtId="0" fontId="3" fillId="0" borderId="13" xfId="0" applyFont="1" applyBorder="1"/>
    <xf numFmtId="0" fontId="0" fillId="2" borderId="11" xfId="0" applyFill="1" applyBorder="1"/>
    <xf numFmtId="1" fontId="2" fillId="2" borderId="12" xfId="0" applyNumberFormat="1" applyFont="1" applyFill="1" applyBorder="1"/>
    <xf numFmtId="0" fontId="0" fillId="0" borderId="11" xfId="0" applyFill="1" applyBorder="1"/>
    <xf numFmtId="1" fontId="2" fillId="0" borderId="12" xfId="0" applyNumberFormat="1" applyFont="1" applyFill="1" applyBorder="1"/>
    <xf numFmtId="0" fontId="2" fillId="0" borderId="14" xfId="0" applyFont="1" applyBorder="1" applyAlignment="1">
      <alignment horizontal="center" wrapText="1"/>
    </xf>
    <xf numFmtId="0" fontId="3" fillId="0" borderId="11" xfId="0" applyFont="1" applyBorder="1"/>
    <xf numFmtId="0" fontId="5" fillId="0" borderId="13" xfId="0" applyFont="1" applyBorder="1"/>
    <xf numFmtId="0" fontId="0" fillId="0" borderId="13" xfId="0" applyBorder="1"/>
    <xf numFmtId="1" fontId="5" fillId="0" borderId="1" xfId="0" applyNumberFormat="1" applyFont="1" applyBorder="1"/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/>
    <xf numFmtId="0" fontId="5" fillId="0" borderId="14" xfId="0" applyFont="1" applyBorder="1"/>
    <xf numFmtId="0" fontId="5" fillId="2" borderId="14" xfId="0" applyFont="1" applyFill="1" applyBorder="1"/>
    <xf numFmtId="0" fontId="5" fillId="0" borderId="14" xfId="0" applyFont="1" applyFill="1" applyBorder="1"/>
    <xf numFmtId="0" fontId="0" fillId="0" borderId="0" xfId="0" applyBorder="1"/>
    <xf numFmtId="0" fontId="6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6" xfId="0" applyFont="1" applyFill="1" applyBorder="1"/>
    <xf numFmtId="0" fontId="0" fillId="0" borderId="19" xfId="0" applyFill="1" applyBorder="1"/>
    <xf numFmtId="1" fontId="2" fillId="0" borderId="20" xfId="0" applyNumberFormat="1" applyFont="1" applyFill="1" applyBorder="1"/>
    <xf numFmtId="0" fontId="0" fillId="0" borderId="21" xfId="0" applyFill="1" applyBorder="1"/>
    <xf numFmtId="1" fontId="2" fillId="0" borderId="22" xfId="0" applyNumberFormat="1" applyFont="1" applyFill="1" applyBorder="1"/>
    <xf numFmtId="0" fontId="0" fillId="0" borderId="0" xfId="0" applyFill="1"/>
    <xf numFmtId="0" fontId="5" fillId="3" borderId="2" xfId="0" applyFont="1" applyFill="1" applyBorder="1"/>
    <xf numFmtId="1" fontId="5" fillId="3" borderId="17" xfId="0" applyNumberFormat="1" applyFont="1" applyFill="1" applyBorder="1"/>
    <xf numFmtId="1" fontId="5" fillId="3" borderId="6" xfId="0" applyNumberFormat="1" applyFont="1" applyFill="1" applyBorder="1"/>
    <xf numFmtId="1" fontId="0" fillId="3" borderId="19" xfId="0" applyNumberFormat="1" applyFill="1" applyBorder="1"/>
    <xf numFmtId="1" fontId="0" fillId="3" borderId="1" xfId="0" applyNumberFormat="1" applyFill="1" applyBorder="1" applyAlignment="1">
      <alignment horizontal="right"/>
    </xf>
    <xf numFmtId="1" fontId="0" fillId="3" borderId="21" xfId="0" applyNumberFormat="1" applyFill="1" applyBorder="1"/>
    <xf numFmtId="1" fontId="2" fillId="3" borderId="1" xfId="0" applyNumberFormat="1" applyFont="1" applyFill="1" applyBorder="1"/>
    <xf numFmtId="1" fontId="5" fillId="3" borderId="14" xfId="0" applyNumberFormat="1" applyFont="1" applyFill="1" applyBorder="1"/>
    <xf numFmtId="1" fontId="2" fillId="3" borderId="18" xfId="0" applyNumberFormat="1" applyFont="1" applyFill="1" applyBorder="1"/>
    <xf numFmtId="165" fontId="0" fillId="0" borderId="15" xfId="0" applyNumberFormat="1" applyBorder="1"/>
    <xf numFmtId="165" fontId="0" fillId="0" borderId="0" xfId="0" applyNumberFormat="1" applyBorder="1"/>
    <xf numFmtId="165" fontId="0" fillId="0" borderId="16" xfId="0" applyNumberFormat="1" applyBorder="1"/>
    <xf numFmtId="165" fontId="0" fillId="0" borderId="0" xfId="0" applyNumberFormat="1"/>
    <xf numFmtId="165" fontId="0" fillId="0" borderId="23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0" fontId="5" fillId="0" borderId="15" xfId="0" applyFont="1" applyBorder="1" applyAlignment="1">
      <alignment horizontal="center"/>
    </xf>
    <xf numFmtId="0" fontId="2" fillId="4" borderId="2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1" xfId="0" applyFont="1" applyFill="1" applyBorder="1"/>
    <xf numFmtId="0" fontId="0" fillId="4" borderId="3" xfId="0" applyFill="1" applyBorder="1"/>
    <xf numFmtId="1" fontId="0" fillId="4" borderId="4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11" xfId="0" applyFill="1" applyBorder="1"/>
    <xf numFmtId="1" fontId="0" fillId="4" borderId="12" xfId="0" applyNumberFormat="1" applyFill="1" applyBorder="1"/>
    <xf numFmtId="0" fontId="0" fillId="4" borderId="1" xfId="0" applyFill="1" applyBorder="1"/>
    <xf numFmtId="0" fontId="0" fillId="4" borderId="12" xfId="0" applyFill="1" applyBorder="1"/>
    <xf numFmtId="0" fontId="5" fillId="4" borderId="14" xfId="0" applyFont="1" applyFill="1" applyBorder="1"/>
    <xf numFmtId="0" fontId="0" fillId="4" borderId="26" xfId="0" applyFill="1" applyBorder="1"/>
    <xf numFmtId="0" fontId="0" fillId="4" borderId="27" xfId="0" applyFill="1" applyBorder="1" applyAlignment="1">
      <alignment horizontal="right"/>
    </xf>
    <xf numFmtId="0" fontId="2" fillId="4" borderId="5" xfId="0" applyFont="1" applyFill="1" applyBorder="1"/>
    <xf numFmtId="0" fontId="0" fillId="4" borderId="28" xfId="0" applyFill="1" applyBorder="1" applyAlignment="1">
      <alignment horizontal="right"/>
    </xf>
    <xf numFmtId="0" fontId="0" fillId="4" borderId="29" xfId="0" applyFill="1" applyBorder="1"/>
    <xf numFmtId="0" fontId="0" fillId="4" borderId="30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5" fillId="4" borderId="31" xfId="0" applyFont="1" applyFill="1" applyBorder="1" applyAlignment="1">
      <alignment horizontal="right"/>
    </xf>
    <xf numFmtId="0" fontId="12" fillId="0" borderId="0" xfId="0" applyFont="1"/>
    <xf numFmtId="165" fontId="5" fillId="0" borderId="0" xfId="0" applyNumberFormat="1" applyFont="1" applyBorder="1"/>
    <xf numFmtId="1" fontId="5" fillId="0" borderId="23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3" fillId="0" borderId="13" xfId="0" applyFont="1" applyBorder="1"/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0" fillId="0" borderId="15" xfId="0" applyNumberFormat="1" applyBorder="1"/>
    <xf numFmtId="165" fontId="0" fillId="0" borderId="0" xfId="0" applyNumberFormat="1" applyBorder="1"/>
    <xf numFmtId="165" fontId="0" fillId="0" borderId="16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0" fontId="5" fillId="0" borderId="15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165" fontId="5" fillId="0" borderId="24" xfId="0" applyNumberFormat="1" applyFont="1" applyBorder="1"/>
    <xf numFmtId="0" fontId="5" fillId="0" borderId="11" xfId="0" applyFont="1" applyBorder="1"/>
    <xf numFmtId="165" fontId="3" fillId="0" borderId="23" xfId="0" applyNumberFormat="1" applyFont="1" applyBorder="1"/>
    <xf numFmtId="165" fontId="17" fillId="0" borderId="24" xfId="0" applyNumberFormat="1" applyFont="1" applyBorder="1"/>
    <xf numFmtId="165" fontId="3" fillId="0" borderId="16" xfId="0" applyNumberFormat="1" applyFont="1" applyBorder="1"/>
    <xf numFmtId="165" fontId="3" fillId="0" borderId="25" xfId="0" applyNumberFormat="1" applyFont="1" applyBorder="1"/>
    <xf numFmtId="0" fontId="4" fillId="0" borderId="0" xfId="0" applyFont="1" applyAlignment="1"/>
    <xf numFmtId="0" fontId="18" fillId="0" borderId="15" xfId="0" applyFont="1" applyBorder="1" applyAlignment="1">
      <alignment horizontal="center"/>
    </xf>
    <xf numFmtId="1" fontId="5" fillId="0" borderId="13" xfId="0" applyNumberFormat="1" applyFont="1" applyBorder="1"/>
    <xf numFmtId="1" fontId="0" fillId="0" borderId="0" xfId="0" applyNumberFormat="1"/>
    <xf numFmtId="165" fontId="18" fillId="0" borderId="0" xfId="0" applyNumberFormat="1" applyFont="1" applyBorder="1"/>
    <xf numFmtId="1" fontId="5" fillId="5" borderId="4" xfId="0" applyNumberFormat="1" applyFont="1" applyFill="1" applyBorder="1"/>
    <xf numFmtId="0" fontId="5" fillId="5" borderId="14" xfId="0" applyFont="1" applyFill="1" applyBorder="1"/>
    <xf numFmtId="0" fontId="5" fillId="5" borderId="11" xfId="0" applyFont="1" applyFill="1" applyBorder="1"/>
    <xf numFmtId="165" fontId="18" fillId="0" borderId="15" xfId="0" applyNumberFormat="1" applyFont="1" applyBorder="1"/>
    <xf numFmtId="165" fontId="3" fillId="0" borderId="0" xfId="0" applyNumberFormat="1" applyFont="1" applyBorder="1"/>
    <xf numFmtId="165" fontId="3" fillId="0" borderId="15" xfId="0" applyNumberFormat="1" applyFont="1" applyBorder="1"/>
    <xf numFmtId="165" fontId="18" fillId="0" borderId="23" xfId="0" applyNumberFormat="1" applyFont="1" applyBorder="1"/>
    <xf numFmtId="165" fontId="18" fillId="0" borderId="24" xfId="0" applyNumberFormat="1" applyFont="1" applyBorder="1"/>
    <xf numFmtId="165" fontId="18" fillId="0" borderId="25" xfId="0" applyNumberFormat="1" applyFont="1" applyBorder="1"/>
    <xf numFmtId="165" fontId="15" fillId="0" borderId="25" xfId="0" applyNumberFormat="1" applyFont="1" applyBorder="1"/>
    <xf numFmtId="0" fontId="21" fillId="0" borderId="45" xfId="0" applyFont="1" applyBorder="1"/>
    <xf numFmtId="0" fontId="3" fillId="0" borderId="0" xfId="0" applyFont="1"/>
    <xf numFmtId="0" fontId="22" fillId="0" borderId="0" xfId="0" applyFont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topLeftCell="A2" zoomScale="90" zoomScaleNormal="90" workbookViewId="0">
      <pane xSplit="1" topLeftCell="B1" activePane="topRight" state="frozen"/>
      <selection pane="topRight" activeCell="AN30" sqref="AN30"/>
    </sheetView>
  </sheetViews>
  <sheetFormatPr defaultRowHeight="12.75"/>
  <cols>
    <col min="1" max="1" width="40" customWidth="1"/>
    <col min="2" max="2" width="11.140625" hidden="1" customWidth="1"/>
    <col min="3" max="3" width="8.85546875" hidden="1" customWidth="1"/>
    <col min="4" max="4" width="8.140625" hidden="1" customWidth="1"/>
    <col min="5" max="5" width="10.85546875" hidden="1" customWidth="1"/>
    <col min="6" max="6" width="8.42578125" hidden="1" customWidth="1"/>
    <col min="7" max="7" width="7.42578125" hidden="1" customWidth="1"/>
    <col min="8" max="8" width="9.28515625" hidden="1" customWidth="1"/>
    <col min="9" max="9" width="8.85546875" hidden="1" customWidth="1"/>
    <col min="10" max="10" width="7.28515625" hidden="1" customWidth="1"/>
    <col min="11" max="12" width="8.7109375" hidden="1" customWidth="1"/>
    <col min="13" max="13" width="6.85546875" hidden="1" customWidth="1"/>
    <col min="14" max="14" width="9.140625" hidden="1" customWidth="1"/>
    <col min="15" max="15" width="8.5703125" hidden="1" customWidth="1"/>
    <col min="16" max="16" width="7.85546875" hidden="1" customWidth="1"/>
    <col min="17" max="18" width="9.140625" hidden="1" customWidth="1"/>
    <col min="23" max="23" width="9.5703125" bestFit="1" customWidth="1"/>
    <col min="26" max="26" width="9.5703125" hidden="1" customWidth="1"/>
    <col min="27" max="28" width="0" hidden="1" customWidth="1"/>
    <col min="29" max="29" width="10" hidden="1" customWidth="1"/>
    <col min="30" max="30" width="13.7109375" hidden="1" customWidth="1"/>
    <col min="31" max="31" width="0" hidden="1" customWidth="1"/>
    <col min="32" max="32" width="10" hidden="1" customWidth="1"/>
    <col min="33" max="37" width="0" hidden="1" customWidth="1"/>
  </cols>
  <sheetData>
    <row r="1" spans="1:37" ht="15.75">
      <c r="A1" s="22" t="s">
        <v>12</v>
      </c>
      <c r="B1" s="22"/>
      <c r="C1" s="22"/>
      <c r="D1" s="22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37" ht="15">
      <c r="A2" s="23"/>
      <c r="B2" s="23"/>
      <c r="C2" s="23"/>
      <c r="D2" s="23"/>
      <c r="E2" s="28"/>
      <c r="F2" s="27"/>
      <c r="G2" s="27"/>
      <c r="H2" s="27"/>
      <c r="I2" s="27"/>
      <c r="J2" s="27"/>
      <c r="K2" s="28"/>
      <c r="L2" s="27"/>
      <c r="M2" s="27"/>
      <c r="N2" s="28"/>
      <c r="O2" s="27"/>
      <c r="P2" s="27"/>
    </row>
    <row r="3" spans="1:37" ht="15">
      <c r="A3" s="23" t="s">
        <v>13</v>
      </c>
      <c r="B3" s="23"/>
      <c r="C3" s="23"/>
      <c r="D3" s="23"/>
      <c r="E3" s="27"/>
      <c r="F3" s="27"/>
      <c r="G3" s="27"/>
      <c r="H3" s="27"/>
      <c r="I3" s="27"/>
      <c r="J3" s="27"/>
      <c r="K3" s="28"/>
      <c r="L3" s="27"/>
      <c r="M3" s="27"/>
      <c r="N3" s="28"/>
      <c r="O3" s="27"/>
      <c r="P3" s="27"/>
    </row>
    <row r="4" spans="1:37" ht="15">
      <c r="A4" s="24"/>
      <c r="B4" s="24"/>
      <c r="C4" s="24"/>
      <c r="D4" s="24"/>
      <c r="E4" s="1"/>
      <c r="F4" s="27"/>
      <c r="G4" s="27"/>
      <c r="H4" s="27"/>
      <c r="I4" s="27"/>
      <c r="J4" s="27"/>
      <c r="K4" s="28"/>
      <c r="L4" s="27"/>
      <c r="M4" s="27"/>
      <c r="N4" s="28"/>
      <c r="O4" s="27"/>
      <c r="P4" s="27"/>
    </row>
    <row r="5" spans="1:37" ht="13.5" thickBot="1">
      <c r="A5" s="1"/>
      <c r="B5" s="1"/>
      <c r="C5" s="1"/>
      <c r="D5" s="1"/>
      <c r="E5" s="1"/>
      <c r="F5" s="27"/>
      <c r="G5" s="27"/>
      <c r="H5" s="27"/>
      <c r="I5" s="27"/>
      <c r="J5" s="27"/>
      <c r="K5" s="28"/>
      <c r="L5" s="27"/>
      <c r="M5" s="27"/>
      <c r="N5" s="28"/>
      <c r="O5" s="27"/>
      <c r="P5" s="27"/>
    </row>
    <row r="6" spans="1:37" ht="17.25" customHeight="1" thickTop="1" thickBot="1">
      <c r="A6" s="21"/>
      <c r="B6" s="169">
        <v>2007</v>
      </c>
      <c r="C6" s="170"/>
      <c r="D6" s="21"/>
      <c r="E6" s="171">
        <v>2008</v>
      </c>
      <c r="F6" s="172"/>
      <c r="G6" s="5" t="s">
        <v>6</v>
      </c>
      <c r="H6" s="162">
        <v>2009</v>
      </c>
      <c r="I6" s="163"/>
      <c r="J6" s="5" t="s">
        <v>5</v>
      </c>
      <c r="K6" s="162">
        <v>2010</v>
      </c>
      <c r="L6" s="163"/>
      <c r="M6" s="5" t="s">
        <v>5</v>
      </c>
      <c r="N6" s="162">
        <v>2011</v>
      </c>
      <c r="O6" s="163"/>
      <c r="P6" s="58" t="s">
        <v>5</v>
      </c>
      <c r="Q6" s="162">
        <v>2012</v>
      </c>
      <c r="R6" s="163"/>
      <c r="S6" s="58" t="s">
        <v>5</v>
      </c>
      <c r="T6" s="162">
        <v>2013</v>
      </c>
      <c r="U6" s="163"/>
      <c r="V6" s="58" t="s">
        <v>5</v>
      </c>
      <c r="W6" s="162" t="s">
        <v>29</v>
      </c>
      <c r="X6" s="163"/>
      <c r="Y6" s="58" t="s">
        <v>5</v>
      </c>
      <c r="Z6" s="162" t="s">
        <v>30</v>
      </c>
      <c r="AA6" s="163"/>
      <c r="AB6" s="58" t="s">
        <v>5</v>
      </c>
      <c r="AC6" s="162" t="s">
        <v>31</v>
      </c>
      <c r="AD6" s="163"/>
      <c r="AE6" s="58" t="s">
        <v>5</v>
      </c>
      <c r="AF6" s="162" t="s">
        <v>32</v>
      </c>
      <c r="AG6" s="163"/>
      <c r="AH6" s="58" t="s">
        <v>5</v>
      </c>
      <c r="AI6" s="162" t="s">
        <v>34</v>
      </c>
      <c r="AJ6" s="163"/>
      <c r="AK6" s="58" t="s">
        <v>5</v>
      </c>
    </row>
    <row r="7" spans="1:37" ht="14.25" hidden="1" customHeight="1" thickTop="1" thickBot="1">
      <c r="A7" s="8" t="s">
        <v>3</v>
      </c>
      <c r="B7" s="34"/>
      <c r="C7" s="35"/>
      <c r="D7" s="30"/>
      <c r="E7" s="173"/>
      <c r="F7" s="174"/>
      <c r="G7" s="2"/>
      <c r="H7" s="164"/>
      <c r="I7" s="165"/>
      <c r="J7" s="6"/>
      <c r="K7" s="164"/>
      <c r="L7" s="165"/>
      <c r="M7" s="6"/>
      <c r="N7" s="164"/>
      <c r="O7" s="165"/>
      <c r="P7" s="63"/>
      <c r="Q7" s="164">
        <v>300</v>
      </c>
      <c r="R7" s="165"/>
      <c r="S7" s="63"/>
      <c r="T7" s="164">
        <v>300</v>
      </c>
      <c r="U7" s="165"/>
      <c r="V7" s="63"/>
      <c r="W7" s="164">
        <v>300</v>
      </c>
      <c r="X7" s="165"/>
      <c r="Y7" s="63"/>
      <c r="Z7" s="164">
        <v>300</v>
      </c>
      <c r="AA7" s="165"/>
      <c r="AB7" s="63"/>
      <c r="AC7" s="164">
        <v>300</v>
      </c>
      <c r="AD7" s="165"/>
      <c r="AE7" s="63"/>
      <c r="AF7" s="164">
        <v>300</v>
      </c>
      <c r="AG7" s="165"/>
      <c r="AH7" s="63"/>
      <c r="AI7" s="164">
        <v>300</v>
      </c>
      <c r="AJ7" s="165"/>
      <c r="AK7" s="63"/>
    </row>
    <row r="8" spans="1:37" ht="13.5" thickTop="1">
      <c r="A8" s="98" t="s">
        <v>7</v>
      </c>
      <c r="B8" s="110"/>
      <c r="C8" s="111" t="s">
        <v>1</v>
      </c>
      <c r="D8" s="112"/>
      <c r="E8" s="110"/>
      <c r="F8" s="113" t="s">
        <v>1</v>
      </c>
      <c r="G8" s="104"/>
      <c r="H8" s="114"/>
      <c r="I8" s="115" t="s">
        <v>1</v>
      </c>
      <c r="J8" s="116"/>
      <c r="K8" s="114"/>
      <c r="L8" s="115" t="s">
        <v>1</v>
      </c>
      <c r="M8" s="116"/>
      <c r="N8" s="114"/>
      <c r="O8" s="115" t="s">
        <v>1</v>
      </c>
      <c r="P8" s="117"/>
      <c r="Q8" s="114"/>
      <c r="R8" s="115" t="s">
        <v>1</v>
      </c>
      <c r="S8" s="117"/>
      <c r="T8" s="114"/>
      <c r="U8" s="115" t="s">
        <v>1</v>
      </c>
      <c r="V8" s="117"/>
      <c r="W8" s="114"/>
      <c r="X8" s="115" t="s">
        <v>1</v>
      </c>
      <c r="Y8" s="117"/>
      <c r="Z8" s="114"/>
      <c r="AA8" s="115" t="s">
        <v>1</v>
      </c>
      <c r="AB8" s="117"/>
      <c r="AC8" s="114"/>
      <c r="AD8" s="115" t="s">
        <v>1</v>
      </c>
      <c r="AE8" s="117"/>
      <c r="AF8" s="114"/>
      <c r="AG8" s="115" t="s">
        <v>1</v>
      </c>
      <c r="AH8" s="117"/>
      <c r="AI8" s="114"/>
      <c r="AJ8" s="115" t="s">
        <v>1</v>
      </c>
      <c r="AK8" s="117"/>
    </row>
    <row r="9" spans="1:37">
      <c r="A9" s="9" t="s">
        <v>17</v>
      </c>
      <c r="B9" s="36">
        <v>15000</v>
      </c>
      <c r="C9" s="37"/>
      <c r="D9" s="31"/>
      <c r="E9" s="15">
        <v>60000</v>
      </c>
      <c r="F9" s="16"/>
      <c r="G9" s="25"/>
      <c r="H9" s="51">
        <v>113150</v>
      </c>
      <c r="I9" s="52"/>
      <c r="J9" s="26"/>
      <c r="K9" s="59">
        <f>K11/4</f>
        <v>70000</v>
      </c>
      <c r="L9" s="52"/>
      <c r="M9" s="26"/>
      <c r="N9" s="59"/>
      <c r="O9" s="52"/>
      <c r="P9" s="64"/>
      <c r="Q9" s="59"/>
      <c r="R9" s="52"/>
      <c r="S9" s="64"/>
      <c r="T9" s="59"/>
      <c r="U9" s="52"/>
      <c r="V9" s="64"/>
      <c r="W9" s="59"/>
      <c r="X9" s="52"/>
      <c r="Y9" s="64"/>
      <c r="Z9" s="59"/>
      <c r="AA9" s="52"/>
      <c r="AB9" s="64"/>
      <c r="AC9" s="59"/>
      <c r="AD9" s="52"/>
      <c r="AE9" s="64"/>
      <c r="AF9" s="59"/>
      <c r="AG9" s="52"/>
      <c r="AH9" s="64"/>
      <c r="AI9" s="59"/>
      <c r="AJ9" s="52"/>
      <c r="AK9" s="64"/>
    </row>
    <row r="10" spans="1:37">
      <c r="A10" s="9" t="s">
        <v>18</v>
      </c>
      <c r="B10" s="36"/>
      <c r="C10" s="37"/>
      <c r="D10" s="62">
        <f>B9/365</f>
        <v>41.095890410958901</v>
      </c>
      <c r="E10" s="42"/>
      <c r="F10" s="16"/>
      <c r="G10" s="62">
        <f>E9/365</f>
        <v>164.38356164383561</v>
      </c>
      <c r="H10" s="61"/>
      <c r="I10" s="52"/>
      <c r="J10" s="62">
        <f>H9/365</f>
        <v>310</v>
      </c>
      <c r="K10" s="53"/>
      <c r="L10" s="52"/>
      <c r="M10" s="26"/>
      <c r="N10" s="53"/>
      <c r="O10" s="52"/>
      <c r="P10" s="64"/>
      <c r="Q10" s="124"/>
      <c r="R10" s="52"/>
      <c r="S10" s="64"/>
      <c r="T10" s="124"/>
      <c r="U10" s="52"/>
      <c r="V10" s="64"/>
      <c r="W10" s="124"/>
      <c r="X10" s="52"/>
      <c r="Y10" s="64"/>
      <c r="Z10" s="124"/>
      <c r="AA10" s="52"/>
      <c r="AB10" s="64"/>
      <c r="AC10" s="124"/>
      <c r="AD10" s="52"/>
      <c r="AE10" s="64"/>
      <c r="AF10" s="124"/>
      <c r="AG10" s="52"/>
      <c r="AH10" s="64"/>
      <c r="AI10" s="124"/>
      <c r="AJ10" s="52"/>
      <c r="AK10" s="64"/>
    </row>
    <row r="11" spans="1:37" ht="15">
      <c r="A11" s="9" t="s">
        <v>19</v>
      </c>
      <c r="B11" s="50">
        <f>B9*4</f>
        <v>60000</v>
      </c>
      <c r="C11" s="37"/>
      <c r="D11" s="31"/>
      <c r="E11" s="50">
        <f>E9*4</f>
        <v>240000</v>
      </c>
      <c r="F11" s="16"/>
      <c r="G11" s="25"/>
      <c r="H11" s="53">
        <f>H9*4</f>
        <v>452600</v>
      </c>
      <c r="I11" s="52"/>
      <c r="J11" s="26"/>
      <c r="K11" s="60">
        <v>280000</v>
      </c>
      <c r="L11" s="52"/>
      <c r="M11" s="26"/>
      <c r="N11" s="124">
        <f>P12*9*30</f>
        <v>695250</v>
      </c>
      <c r="O11" s="52"/>
      <c r="P11" s="64"/>
      <c r="Q11" s="124">
        <v>138000</v>
      </c>
      <c r="R11" s="52"/>
      <c r="S11" s="160">
        <f>S12*365</f>
        <v>939875</v>
      </c>
      <c r="T11" s="60">
        <v>848963</v>
      </c>
      <c r="U11" s="52"/>
      <c r="V11" s="64"/>
      <c r="W11" s="159"/>
      <c r="X11" s="52"/>
      <c r="Y11" s="64"/>
      <c r="Z11" s="124"/>
      <c r="AA11" s="52"/>
      <c r="AB11" s="64"/>
      <c r="AC11" s="124"/>
      <c r="AD11" s="52"/>
      <c r="AE11" s="64"/>
      <c r="AF11" s="124"/>
      <c r="AG11" s="52"/>
      <c r="AH11" s="64"/>
      <c r="AI11" s="124"/>
      <c r="AJ11" s="52"/>
      <c r="AK11" s="64"/>
    </row>
    <row r="12" spans="1:37">
      <c r="A12" s="9" t="s">
        <v>20</v>
      </c>
      <c r="B12" s="50"/>
      <c r="C12" s="37"/>
      <c r="D12" s="62">
        <f>B11/365</f>
        <v>164.38356164383561</v>
      </c>
      <c r="E12" s="50"/>
      <c r="F12" s="16">
        <f>(G12-D12)*E29/1000</f>
        <v>19.726027397260275</v>
      </c>
      <c r="G12" s="62">
        <f>E11/365</f>
        <v>657.53424657534242</v>
      </c>
      <c r="H12" s="53"/>
      <c r="I12" s="16">
        <f>(J12-G12)*H29/1000</f>
        <v>13.105479452054794</v>
      </c>
      <c r="J12" s="62">
        <f>H11/365</f>
        <v>1240</v>
      </c>
      <c r="K12" s="60"/>
      <c r="L12" s="16">
        <v>0</v>
      </c>
      <c r="M12" s="25">
        <v>1240</v>
      </c>
      <c r="N12" s="60"/>
      <c r="O12" s="16">
        <f>(P12-M12)*N29/1000</f>
        <v>26.7</v>
      </c>
      <c r="P12" s="64">
        <v>2575</v>
      </c>
      <c r="Q12" s="60">
        <v>300</v>
      </c>
      <c r="R12" s="16">
        <f>Q12*Q29/1000</f>
        <v>4.2</v>
      </c>
      <c r="S12" s="64">
        <v>2575</v>
      </c>
      <c r="T12" s="60">
        <v>940</v>
      </c>
      <c r="U12" s="16">
        <f>T12*T29/1000</f>
        <v>9.4</v>
      </c>
      <c r="V12" s="64">
        <f>2575</f>
        <v>2575</v>
      </c>
      <c r="W12" s="60">
        <v>8560</v>
      </c>
      <c r="X12" s="16">
        <f>W12*W29/1000</f>
        <v>59.92</v>
      </c>
      <c r="Y12" s="64">
        <v>10000</v>
      </c>
      <c r="Z12" s="146">
        <v>10835</v>
      </c>
      <c r="AA12" s="16">
        <f>Z12*Z29/1000</f>
        <v>65.010000000000005</v>
      </c>
      <c r="AB12" s="64">
        <v>20000</v>
      </c>
      <c r="AC12" s="146">
        <v>0</v>
      </c>
      <c r="AD12" s="16">
        <f>AC12*AC29/1000</f>
        <v>0</v>
      </c>
      <c r="AE12" s="64">
        <f>AC12+AB12</f>
        <v>20000</v>
      </c>
      <c r="AF12" s="146">
        <v>20000</v>
      </c>
      <c r="AG12" s="16">
        <f>AF12*AF29/1000</f>
        <v>100</v>
      </c>
      <c r="AH12" s="64">
        <f>AE12+AF12</f>
        <v>40000</v>
      </c>
      <c r="AI12" s="146">
        <v>60000</v>
      </c>
      <c r="AJ12" s="16">
        <f>AI12*AI29/1000</f>
        <v>300</v>
      </c>
      <c r="AK12" s="64">
        <f>AH12+AI12</f>
        <v>100000</v>
      </c>
    </row>
    <row r="13" spans="1:37">
      <c r="A13" s="9" t="s">
        <v>15</v>
      </c>
      <c r="B13" s="36"/>
      <c r="C13" s="37"/>
      <c r="D13" s="31"/>
      <c r="E13" s="15">
        <v>12</v>
      </c>
      <c r="F13" s="16">
        <f>E32*E13</f>
        <v>15</v>
      </c>
      <c r="G13" s="12">
        <v>120</v>
      </c>
      <c r="H13" s="51">
        <v>120</v>
      </c>
      <c r="I13" s="16">
        <f>H32*H13</f>
        <v>104.4</v>
      </c>
      <c r="J13" s="2">
        <f>G13+H13</f>
        <v>240</v>
      </c>
      <c r="K13" s="51">
        <f>166+22-90</f>
        <v>98</v>
      </c>
      <c r="L13" s="16">
        <f>K32*K13</f>
        <v>69.384</v>
      </c>
      <c r="M13" s="2">
        <f>J13+K13</f>
        <v>338</v>
      </c>
      <c r="N13" s="51">
        <f>P13-M13</f>
        <v>80</v>
      </c>
      <c r="O13" s="16">
        <f>N32*N13</f>
        <v>34.4</v>
      </c>
      <c r="P13" s="65">
        <v>418</v>
      </c>
      <c r="Q13" s="51">
        <v>50</v>
      </c>
      <c r="R13" s="16">
        <f>Q13*Q32</f>
        <v>18.5</v>
      </c>
      <c r="S13" s="65">
        <v>418</v>
      </c>
      <c r="T13" s="51">
        <v>100</v>
      </c>
      <c r="U13" s="16">
        <f>T13*T32</f>
        <v>37.799999999999997</v>
      </c>
      <c r="V13" s="65">
        <v>425</v>
      </c>
      <c r="W13" s="59">
        <v>70</v>
      </c>
      <c r="X13" s="16">
        <f>W13*W32</f>
        <v>26.46</v>
      </c>
      <c r="Y13" s="65">
        <f>V13</f>
        <v>425</v>
      </c>
      <c r="Z13" s="51">
        <f>70+20</f>
        <v>90</v>
      </c>
      <c r="AA13" s="16">
        <f>Z13*Z32</f>
        <v>23.814</v>
      </c>
      <c r="AB13" s="65">
        <f>445</f>
        <v>445</v>
      </c>
      <c r="AC13" s="139">
        <f>70+450</f>
        <v>520</v>
      </c>
      <c r="AD13" s="16">
        <f>AC13*AC32</f>
        <v>137.59200000000001</v>
      </c>
      <c r="AE13" s="65">
        <f>AB13+450</f>
        <v>895</v>
      </c>
      <c r="AF13" s="139">
        <f>70</f>
        <v>70</v>
      </c>
      <c r="AG13" s="16">
        <f>AF13*AF32</f>
        <v>12.965399999999999</v>
      </c>
      <c r="AH13" s="65">
        <f>AE13</f>
        <v>895</v>
      </c>
      <c r="AI13" s="139">
        <f>7</f>
        <v>7</v>
      </c>
      <c r="AJ13" s="16">
        <f>AI13*AI32</f>
        <v>1.29654</v>
      </c>
      <c r="AK13" s="65">
        <f>AH13</f>
        <v>895</v>
      </c>
    </row>
    <row r="14" spans="1:37">
      <c r="A14" s="9" t="s">
        <v>16</v>
      </c>
      <c r="B14" s="36">
        <v>120</v>
      </c>
      <c r="C14" s="37"/>
      <c r="D14" s="31"/>
      <c r="E14" s="15">
        <v>55</v>
      </c>
      <c r="F14" s="16">
        <f>E14*E33</f>
        <v>9.3500000000000014</v>
      </c>
      <c r="G14" s="12">
        <v>55</v>
      </c>
      <c r="H14" s="51">
        <f>J14-G14</f>
        <v>90</v>
      </c>
      <c r="I14" s="16">
        <f>H14*H33</f>
        <v>9</v>
      </c>
      <c r="J14" s="2">
        <v>145</v>
      </c>
      <c r="K14" s="51">
        <f>20+160</f>
        <v>180</v>
      </c>
      <c r="L14" s="16">
        <f>K14*K33</f>
        <v>18</v>
      </c>
      <c r="M14" s="2">
        <f>J14+K14</f>
        <v>325</v>
      </c>
      <c r="N14" s="51">
        <f>P14-M14</f>
        <v>429</v>
      </c>
      <c r="O14" s="16">
        <f>N14*N33</f>
        <v>34.32</v>
      </c>
      <c r="P14" s="65">
        <v>754</v>
      </c>
      <c r="Q14" s="51">
        <v>110</v>
      </c>
      <c r="R14" s="16">
        <f>Q14*Q33</f>
        <v>4.4000000000000004</v>
      </c>
      <c r="S14" s="65">
        <f>P14+Q14</f>
        <v>864</v>
      </c>
      <c r="T14" s="51">
        <v>0</v>
      </c>
      <c r="U14" s="16">
        <f>T14*T33</f>
        <v>0</v>
      </c>
      <c r="V14" s="65">
        <v>846</v>
      </c>
      <c r="W14" s="51">
        <v>0</v>
      </c>
      <c r="X14" s="16">
        <f>W14*W33</f>
        <v>0</v>
      </c>
      <c r="Y14" s="65">
        <f>V14</f>
        <v>846</v>
      </c>
      <c r="Z14" s="51">
        <v>50</v>
      </c>
      <c r="AA14" s="16">
        <f>Z14*Z33</f>
        <v>2.5</v>
      </c>
      <c r="AB14" s="65">
        <f>Y14+Z14</f>
        <v>896</v>
      </c>
      <c r="AC14" s="51">
        <v>450</v>
      </c>
      <c r="AD14" s="16">
        <f>AC14*AC33</f>
        <v>18</v>
      </c>
      <c r="AE14" s="65">
        <f>AB14+AC14</f>
        <v>1346</v>
      </c>
      <c r="AF14" s="51">
        <v>850</v>
      </c>
      <c r="AG14" s="16">
        <f>AF14*AF33</f>
        <v>29.750000000000004</v>
      </c>
      <c r="AH14" s="65">
        <f>AE14+AF14</f>
        <v>2196</v>
      </c>
      <c r="AI14" s="51">
        <v>850</v>
      </c>
      <c r="AJ14" s="16">
        <f>AI14*AI33</f>
        <v>29.750000000000004</v>
      </c>
      <c r="AK14" s="65">
        <f>AH14+AI14</f>
        <v>3046</v>
      </c>
    </row>
    <row r="15" spans="1:37">
      <c r="A15" s="10" t="s">
        <v>24</v>
      </c>
      <c r="B15" s="38"/>
      <c r="C15" s="39">
        <v>45</v>
      </c>
      <c r="D15" s="32"/>
      <c r="E15" s="17"/>
      <c r="F15" s="18">
        <f>SUM(F9:F14)</f>
        <v>44.076027397260276</v>
      </c>
      <c r="G15" s="13"/>
      <c r="H15" s="54"/>
      <c r="I15" s="55">
        <f>SUM(I9:I14)</f>
        <v>126.5054794520548</v>
      </c>
      <c r="J15" s="3"/>
      <c r="K15" s="54"/>
      <c r="L15" s="55">
        <f>SUM(L9:L14)</f>
        <v>87.384</v>
      </c>
      <c r="M15" s="3"/>
      <c r="N15" s="54"/>
      <c r="O15" s="55">
        <f>SUM(O9:O14)</f>
        <v>95.419999999999987</v>
      </c>
      <c r="P15" s="66"/>
      <c r="Q15" s="54"/>
      <c r="R15" s="55">
        <f>SUM(R9:R14)</f>
        <v>27.1</v>
      </c>
      <c r="S15" s="66"/>
      <c r="T15" s="54"/>
      <c r="U15" s="55">
        <f>SUM(U9:U14)</f>
        <v>47.199999999999996</v>
      </c>
      <c r="V15" s="66"/>
      <c r="W15" s="54"/>
      <c r="X15" s="55">
        <f>SUM(X9:X14)</f>
        <v>86.38</v>
      </c>
      <c r="Y15" s="66"/>
      <c r="Z15" s="54"/>
      <c r="AA15" s="55">
        <f>SUM(AA9:AA14)</f>
        <v>91.324000000000012</v>
      </c>
      <c r="AB15" s="66"/>
      <c r="AC15" s="54"/>
      <c r="AD15" s="55">
        <f>SUM(AD9:AD14)</f>
        <v>155.59200000000001</v>
      </c>
      <c r="AE15" s="66"/>
      <c r="AF15" s="54"/>
      <c r="AG15" s="55">
        <f>SUM(AG9:AG14)</f>
        <v>142.71540000000002</v>
      </c>
      <c r="AH15" s="66"/>
      <c r="AI15" s="54"/>
      <c r="AJ15" s="55">
        <f>SUM(AJ9:AJ14)</f>
        <v>331.04653999999999</v>
      </c>
      <c r="AK15" s="66"/>
    </row>
    <row r="16" spans="1:37">
      <c r="A16" s="11"/>
      <c r="B16" s="40"/>
      <c r="C16" s="41"/>
      <c r="D16" s="33"/>
      <c r="E16" s="19"/>
      <c r="F16" s="20"/>
      <c r="G16" s="14"/>
      <c r="H16" s="56"/>
      <c r="I16" s="57"/>
      <c r="J16" s="4"/>
      <c r="K16" s="56"/>
      <c r="L16" s="57"/>
      <c r="M16" s="4"/>
      <c r="N16" s="56"/>
      <c r="O16" s="57"/>
      <c r="P16" s="67"/>
      <c r="Q16" s="56"/>
      <c r="R16" s="57"/>
      <c r="S16" s="67"/>
      <c r="T16" s="56"/>
      <c r="U16" s="57"/>
      <c r="V16" s="67"/>
      <c r="W16" s="56"/>
      <c r="X16" s="57"/>
      <c r="Y16" s="67"/>
      <c r="Z16" s="56"/>
      <c r="AA16" s="57"/>
      <c r="AB16" s="67"/>
      <c r="AC16" s="56"/>
      <c r="AD16" s="57"/>
      <c r="AE16" s="67"/>
      <c r="AF16" s="56"/>
      <c r="AG16" s="57"/>
      <c r="AH16" s="67"/>
      <c r="AI16" s="56"/>
      <c r="AJ16" s="57"/>
      <c r="AK16" s="67"/>
    </row>
    <row r="17" spans="1:37">
      <c r="A17" s="98" t="s">
        <v>10</v>
      </c>
      <c r="B17" s="99"/>
      <c r="C17" s="100"/>
      <c r="D17" s="101"/>
      <c r="E17" s="102"/>
      <c r="F17" s="103"/>
      <c r="G17" s="104"/>
      <c r="H17" s="105"/>
      <c r="I17" s="106"/>
      <c r="J17" s="107"/>
      <c r="K17" s="105"/>
      <c r="L17" s="106"/>
      <c r="M17" s="107"/>
      <c r="N17" s="105"/>
      <c r="O17" s="108"/>
      <c r="P17" s="109"/>
      <c r="Q17" s="105"/>
      <c r="R17" s="108"/>
      <c r="S17" s="109"/>
      <c r="T17" s="105"/>
      <c r="U17" s="108"/>
      <c r="V17" s="109"/>
      <c r="W17" s="105"/>
      <c r="X17" s="108"/>
      <c r="Y17" s="109"/>
      <c r="Z17" s="105"/>
      <c r="AA17" s="108"/>
      <c r="AB17" s="109"/>
      <c r="AC17" s="105"/>
      <c r="AD17" s="108"/>
      <c r="AE17" s="109"/>
      <c r="AF17" s="105"/>
      <c r="AG17" s="108"/>
      <c r="AH17" s="109"/>
      <c r="AI17" s="105"/>
      <c r="AJ17" s="108"/>
      <c r="AK17" s="109"/>
    </row>
    <row r="18" spans="1:37">
      <c r="A18" s="9" t="s">
        <v>11</v>
      </c>
      <c r="B18" s="36">
        <v>22800</v>
      </c>
      <c r="C18" s="37"/>
      <c r="D18" s="31"/>
      <c r="E18" s="15">
        <v>185000</v>
      </c>
      <c r="F18" s="16">
        <f>F30*E18/1000</f>
        <v>46.25</v>
      </c>
      <c r="G18" s="12"/>
      <c r="H18" s="51">
        <v>97075</v>
      </c>
      <c r="I18" s="16">
        <f>I30*H18/1000</f>
        <v>17.0852</v>
      </c>
      <c r="J18" s="2"/>
      <c r="K18" s="59">
        <f>K19/4</f>
        <v>37500</v>
      </c>
      <c r="L18" s="16">
        <f>K19*L31/1000</f>
        <v>4.2</v>
      </c>
      <c r="M18" s="2"/>
      <c r="N18" s="59"/>
      <c r="O18" s="16"/>
      <c r="P18" s="65"/>
      <c r="Q18" s="59"/>
      <c r="R18" s="16"/>
      <c r="S18" s="65"/>
      <c r="T18" s="59"/>
      <c r="U18" s="16"/>
      <c r="V18" s="65"/>
      <c r="W18" s="59"/>
      <c r="X18" s="16"/>
      <c r="Y18" s="65"/>
      <c r="Z18" s="59"/>
      <c r="AA18" s="16"/>
      <c r="AB18" s="65"/>
      <c r="AC18" s="59"/>
      <c r="AD18" s="16"/>
      <c r="AE18" s="65"/>
      <c r="AF18" s="59"/>
      <c r="AG18" s="16"/>
      <c r="AH18" s="65"/>
      <c r="AI18" s="59"/>
      <c r="AJ18" s="16"/>
      <c r="AK18" s="65"/>
    </row>
    <row r="19" spans="1:37">
      <c r="A19" s="9" t="s">
        <v>21</v>
      </c>
      <c r="B19" s="50">
        <f>B18*4</f>
        <v>91200</v>
      </c>
      <c r="C19" s="37"/>
      <c r="D19" s="31"/>
      <c r="E19" s="50">
        <f>E18*4</f>
        <v>740000</v>
      </c>
      <c r="F19" s="16"/>
      <c r="G19" s="12"/>
      <c r="H19" s="53">
        <f>H18*4</f>
        <v>388300</v>
      </c>
      <c r="I19" s="16"/>
      <c r="J19" s="2"/>
      <c r="K19" s="60">
        <v>150000</v>
      </c>
      <c r="L19" s="16"/>
      <c r="M19" s="2"/>
      <c r="N19" s="60">
        <v>160000</v>
      </c>
      <c r="O19" s="16">
        <f>N19*O31/1000</f>
        <v>6.08</v>
      </c>
      <c r="P19" s="65"/>
      <c r="Q19" s="60">
        <v>140000</v>
      </c>
      <c r="R19" s="16">
        <f>Q19*R31/1000</f>
        <v>5.32</v>
      </c>
      <c r="S19" s="65"/>
      <c r="T19" s="60">
        <v>114600</v>
      </c>
      <c r="U19" s="16">
        <f>T19*U31/1000</f>
        <v>5.3861999999999997</v>
      </c>
      <c r="V19" s="65"/>
      <c r="W19" s="124">
        <v>400000</v>
      </c>
      <c r="X19" s="16">
        <f>W19*X31/1000</f>
        <v>18.8</v>
      </c>
      <c r="Y19" s="65"/>
      <c r="Z19" s="124">
        <v>120000</v>
      </c>
      <c r="AA19" s="16">
        <f>Z19*AA31/1000</f>
        <v>4.8</v>
      </c>
      <c r="AB19" s="65"/>
      <c r="AC19" s="124">
        <v>120000</v>
      </c>
      <c r="AD19" s="149">
        <f>AC19*AD31/1000</f>
        <v>4.2</v>
      </c>
      <c r="AE19" s="150"/>
      <c r="AF19" s="124">
        <v>150000</v>
      </c>
      <c r="AG19" s="149">
        <f>AF19*AG31/1000</f>
        <v>5.2500000000000009</v>
      </c>
      <c r="AH19" s="150"/>
      <c r="AI19" s="124">
        <v>1720000</v>
      </c>
      <c r="AJ19" s="149">
        <f>AI19*AJ31/1000</f>
        <v>60.20000000000001</v>
      </c>
      <c r="AK19" s="150"/>
    </row>
    <row r="20" spans="1:37">
      <c r="A20" s="9" t="s">
        <v>27</v>
      </c>
      <c r="B20" s="36"/>
      <c r="C20" s="37"/>
      <c r="D20" s="31"/>
      <c r="E20" s="15">
        <v>125</v>
      </c>
      <c r="F20" s="16">
        <f>F32*E20</f>
        <v>125</v>
      </c>
      <c r="G20" s="12">
        <v>140</v>
      </c>
      <c r="H20" s="51">
        <v>44</v>
      </c>
      <c r="I20" s="16">
        <f>I32*H20</f>
        <v>22</v>
      </c>
      <c r="J20" s="2">
        <v>184</v>
      </c>
      <c r="K20" s="51">
        <v>124</v>
      </c>
      <c r="L20" s="16">
        <f>L32*K20</f>
        <v>62</v>
      </c>
      <c r="M20" s="2">
        <f>J20+K20</f>
        <v>308</v>
      </c>
      <c r="N20" s="51">
        <v>50</v>
      </c>
      <c r="O20" s="16">
        <f>O32*N20</f>
        <v>15</v>
      </c>
      <c r="P20" s="65">
        <v>308</v>
      </c>
      <c r="Q20" s="51">
        <v>50</v>
      </c>
      <c r="R20" s="16">
        <f>R32*Q20</f>
        <v>15</v>
      </c>
      <c r="S20" s="65">
        <v>308</v>
      </c>
      <c r="T20" s="51">
        <v>50</v>
      </c>
      <c r="U20" s="16">
        <f>U32*T20</f>
        <v>13.950000000000001</v>
      </c>
      <c r="V20" s="65">
        <f>S20</f>
        <v>308</v>
      </c>
      <c r="W20" s="59">
        <v>55</v>
      </c>
      <c r="X20" s="16">
        <f>X32*W20</f>
        <v>15.345000000000001</v>
      </c>
      <c r="Y20" s="65">
        <f>V20</f>
        <v>308</v>
      </c>
      <c r="Z20" s="51">
        <v>70</v>
      </c>
      <c r="AA20" s="16">
        <f>AA32*Z20</f>
        <v>13.670999999999999</v>
      </c>
      <c r="AB20" s="65">
        <v>328</v>
      </c>
      <c r="AC20" s="151">
        <f>50+500</f>
        <v>550</v>
      </c>
      <c r="AD20" s="149">
        <f>AD32*AC20</f>
        <v>107.41500000000001</v>
      </c>
      <c r="AE20" s="150">
        <f>AB20+500</f>
        <v>828</v>
      </c>
      <c r="AF20" s="151">
        <f>100</f>
        <v>100</v>
      </c>
      <c r="AG20" s="149">
        <f>AG32*AF20</f>
        <v>13.670999999999999</v>
      </c>
      <c r="AH20" s="150">
        <f>AE20+50</f>
        <v>878</v>
      </c>
      <c r="AI20" s="151">
        <v>0</v>
      </c>
      <c r="AJ20" s="149">
        <f>AJ32*AI20</f>
        <v>0</v>
      </c>
      <c r="AK20" s="150">
        <f>AH20+50</f>
        <v>928</v>
      </c>
    </row>
    <row r="21" spans="1:37">
      <c r="A21" s="9" t="s">
        <v>28</v>
      </c>
      <c r="B21" s="36">
        <v>115</v>
      </c>
      <c r="C21" s="37"/>
      <c r="D21" s="31">
        <v>115</v>
      </c>
      <c r="E21" s="15">
        <v>12</v>
      </c>
      <c r="F21" s="16">
        <f>F33*E21</f>
        <v>2.04</v>
      </c>
      <c r="G21" s="2">
        <f>D21+E21</f>
        <v>127</v>
      </c>
      <c r="H21" s="51">
        <v>190</v>
      </c>
      <c r="I21" s="16">
        <f>I33*H21</f>
        <v>14.059999999999999</v>
      </c>
      <c r="J21" s="2">
        <f>G21+H21</f>
        <v>317</v>
      </c>
      <c r="K21" s="51">
        <v>140</v>
      </c>
      <c r="L21" s="16">
        <f>L33*K21</f>
        <v>11.9</v>
      </c>
      <c r="M21" s="2">
        <f>J21+K21</f>
        <v>457</v>
      </c>
      <c r="N21" s="51">
        <v>250</v>
      </c>
      <c r="O21" s="16">
        <f>O33*N21</f>
        <v>21.25</v>
      </c>
      <c r="P21" s="65">
        <f>N21+M21</f>
        <v>707</v>
      </c>
      <c r="Q21" s="51">
        <v>82</v>
      </c>
      <c r="R21" s="16">
        <f>R33*Q21</f>
        <v>3.69</v>
      </c>
      <c r="S21" s="65">
        <f>P21+Q21</f>
        <v>789</v>
      </c>
      <c r="T21" s="51">
        <v>0</v>
      </c>
      <c r="U21" s="16">
        <f>U33*T21</f>
        <v>0</v>
      </c>
      <c r="V21" s="65">
        <f>S21</f>
        <v>789</v>
      </c>
      <c r="W21" s="51">
        <v>0</v>
      </c>
      <c r="X21" s="16">
        <f>X33*W21</f>
        <v>0</v>
      </c>
      <c r="Y21" s="65">
        <f>V21</f>
        <v>789</v>
      </c>
      <c r="Z21" s="51">
        <v>50</v>
      </c>
      <c r="AA21" s="16">
        <f>AA33*Z21</f>
        <v>2</v>
      </c>
      <c r="AB21" s="65">
        <f>Y21+Z21</f>
        <v>839</v>
      </c>
      <c r="AC21" s="151">
        <v>450</v>
      </c>
      <c r="AD21" s="149">
        <f>AD33*AC21</f>
        <v>18</v>
      </c>
      <c r="AE21" s="150">
        <f>AB21+AC21</f>
        <v>1289</v>
      </c>
      <c r="AF21" s="151">
        <v>850</v>
      </c>
      <c r="AG21" s="149">
        <f>AG33*AF21</f>
        <v>29.750000000000004</v>
      </c>
      <c r="AH21" s="150">
        <f>AE21+AF21</f>
        <v>2139</v>
      </c>
      <c r="AI21" s="151">
        <v>850</v>
      </c>
      <c r="AJ21" s="149">
        <f>AJ33*AI21</f>
        <v>29.750000000000004</v>
      </c>
      <c r="AK21" s="150">
        <f>AH21+AI21</f>
        <v>2989</v>
      </c>
    </row>
    <row r="22" spans="1:37">
      <c r="A22" s="10" t="s">
        <v>23</v>
      </c>
      <c r="B22" s="38"/>
      <c r="C22" s="39">
        <v>58</v>
      </c>
      <c r="D22" s="32"/>
      <c r="E22" s="17"/>
      <c r="F22" s="18">
        <f>SUM(F18:F21)</f>
        <v>173.29</v>
      </c>
      <c r="G22" s="13"/>
      <c r="H22" s="54"/>
      <c r="I22" s="55">
        <f>SUM(I18:I21)</f>
        <v>53.145200000000003</v>
      </c>
      <c r="J22" s="3"/>
      <c r="K22" s="54" t="s">
        <v>2</v>
      </c>
      <c r="L22" s="55">
        <f>SUM(L18:L21)</f>
        <v>78.100000000000009</v>
      </c>
      <c r="M22" s="3"/>
      <c r="N22" s="54"/>
      <c r="O22" s="55">
        <f>SUM(O18:O21)</f>
        <v>42.33</v>
      </c>
      <c r="P22" s="66"/>
      <c r="Q22" s="54"/>
      <c r="R22" s="55">
        <f>SUM(R18:R21)</f>
        <v>24.01</v>
      </c>
      <c r="S22" s="66"/>
      <c r="T22" s="54"/>
      <c r="U22" s="55">
        <f>SUM(U18:U21)</f>
        <v>19.336200000000002</v>
      </c>
      <c r="V22" s="66"/>
      <c r="W22" s="54"/>
      <c r="X22" s="55">
        <f>SUM(X18:X21)</f>
        <v>34.145000000000003</v>
      </c>
      <c r="Y22" s="66"/>
      <c r="Z22" s="54"/>
      <c r="AA22" s="55">
        <f>SUM(AA18:AA21)</f>
        <v>20.471</v>
      </c>
      <c r="AB22" s="66"/>
      <c r="AC22" s="54"/>
      <c r="AD22" s="55">
        <f>SUM(AD18:AD21)</f>
        <v>129.61500000000001</v>
      </c>
      <c r="AE22" s="66"/>
      <c r="AF22" s="54"/>
      <c r="AG22" s="55">
        <f>SUM(AG18:AG21)</f>
        <v>48.671000000000006</v>
      </c>
      <c r="AH22" s="66"/>
      <c r="AI22" s="54"/>
      <c r="AJ22" s="55">
        <f>SUM(AJ18:AJ21)</f>
        <v>89.950000000000017</v>
      </c>
      <c r="AK22" s="66"/>
    </row>
    <row r="23" spans="1:37" s="80" customFormat="1">
      <c r="A23" s="11"/>
      <c r="B23" s="73"/>
      <c r="C23" s="74"/>
      <c r="D23" s="75"/>
      <c r="E23" s="76"/>
      <c r="F23" s="77"/>
      <c r="G23" s="14"/>
      <c r="H23" s="78"/>
      <c r="I23" s="79"/>
      <c r="J23" s="4"/>
      <c r="K23" s="78"/>
      <c r="L23" s="79"/>
      <c r="M23" s="4"/>
      <c r="N23" s="78"/>
      <c r="O23" s="79"/>
      <c r="P23" s="67"/>
      <c r="Q23" s="78"/>
      <c r="R23" s="79"/>
      <c r="S23" s="67"/>
      <c r="T23" s="78"/>
      <c r="U23" s="79"/>
      <c r="V23" s="67"/>
      <c r="W23" s="78"/>
      <c r="X23" s="79"/>
      <c r="Y23" s="67"/>
      <c r="Z23" s="78"/>
      <c r="AA23" s="79"/>
      <c r="AB23" s="67"/>
      <c r="AC23" s="78"/>
      <c r="AD23" s="79"/>
      <c r="AE23" s="67"/>
      <c r="AF23" s="78"/>
      <c r="AG23" s="79"/>
      <c r="AH23" s="67"/>
      <c r="AI23" s="78"/>
      <c r="AJ23" s="79"/>
      <c r="AK23" s="67"/>
    </row>
    <row r="24" spans="1:37" s="80" customFormat="1">
      <c r="A24" s="81" t="s">
        <v>8</v>
      </c>
      <c r="B24" s="82"/>
      <c r="C24" s="89">
        <f>C22+C15</f>
        <v>103</v>
      </c>
      <c r="D24" s="83"/>
      <c r="E24" s="84"/>
      <c r="F24" s="89">
        <f>F22+F15</f>
        <v>217.36602739726027</v>
      </c>
      <c r="G24" s="85"/>
      <c r="H24" s="86"/>
      <c r="I24" s="89">
        <f>I22+I15</f>
        <v>179.65067945205482</v>
      </c>
      <c r="J24" s="87"/>
      <c r="K24" s="86"/>
      <c r="L24" s="89">
        <f>L22+L15</f>
        <v>165.48400000000001</v>
      </c>
      <c r="M24" s="87"/>
      <c r="N24" s="86"/>
      <c r="O24" s="89">
        <f>O22+O15</f>
        <v>137.75</v>
      </c>
      <c r="P24" s="88"/>
      <c r="Q24" s="86"/>
      <c r="R24" s="89">
        <f>R22+R15</f>
        <v>51.11</v>
      </c>
      <c r="S24" s="89"/>
      <c r="T24" s="86"/>
      <c r="U24" s="89">
        <f>U22+U15</f>
        <v>66.536199999999994</v>
      </c>
      <c r="V24" s="89"/>
      <c r="W24" s="86"/>
      <c r="X24" s="89">
        <f>X22+X15</f>
        <v>120.52500000000001</v>
      </c>
      <c r="Y24" s="89"/>
      <c r="Z24" s="86"/>
      <c r="AA24" s="89">
        <f>AA22+AA15</f>
        <v>111.79500000000002</v>
      </c>
      <c r="AB24" s="89"/>
      <c r="AC24" s="86"/>
      <c r="AD24" s="89">
        <f>AD22+AD15</f>
        <v>285.20699999999999</v>
      </c>
      <c r="AE24" s="89"/>
      <c r="AF24" s="86"/>
      <c r="AG24" s="89">
        <f>AG22+AG15</f>
        <v>191.38640000000004</v>
      </c>
      <c r="AH24" s="89"/>
      <c r="AI24" s="86"/>
      <c r="AJ24" s="89">
        <f>AJ22+AJ15</f>
        <v>420.99653999999998</v>
      </c>
      <c r="AK24" s="89"/>
    </row>
    <row r="26" spans="1:37" ht="13.5" thickBot="1"/>
    <row r="27" spans="1:37" s="68" customFormat="1" ht="15.75">
      <c r="A27" s="69" t="s">
        <v>25</v>
      </c>
      <c r="B27" s="166">
        <v>2007</v>
      </c>
      <c r="C27" s="167"/>
      <c r="D27" s="168"/>
      <c r="E27" s="166">
        <v>2008</v>
      </c>
      <c r="F27" s="167"/>
      <c r="G27" s="168"/>
      <c r="H27" s="166">
        <v>2009</v>
      </c>
      <c r="I27" s="167"/>
      <c r="J27" s="168"/>
      <c r="K27" s="166">
        <v>2010</v>
      </c>
      <c r="L27" s="167"/>
      <c r="M27" s="168"/>
      <c r="N27" s="166">
        <v>2011</v>
      </c>
      <c r="O27" s="167"/>
      <c r="P27" s="168"/>
      <c r="Q27" s="166">
        <v>2012</v>
      </c>
      <c r="R27" s="167"/>
      <c r="S27" s="168"/>
      <c r="T27" s="166">
        <v>2013</v>
      </c>
      <c r="U27" s="167"/>
      <c r="V27" s="168"/>
      <c r="W27" s="166" t="s">
        <v>29</v>
      </c>
      <c r="X27" s="167"/>
      <c r="Y27" s="168"/>
      <c r="Z27" s="166" t="s">
        <v>30</v>
      </c>
      <c r="AA27" s="167"/>
      <c r="AB27" s="168"/>
      <c r="AC27" s="166" t="s">
        <v>31</v>
      </c>
      <c r="AD27" s="167"/>
      <c r="AE27" s="168"/>
      <c r="AF27" s="166" t="s">
        <v>32</v>
      </c>
      <c r="AG27" s="167"/>
      <c r="AH27" s="168"/>
      <c r="AI27" s="166" t="s">
        <v>34</v>
      </c>
      <c r="AJ27" s="167"/>
      <c r="AK27" s="168"/>
    </row>
    <row r="28" spans="1:37">
      <c r="B28" s="70" t="s">
        <v>14</v>
      </c>
      <c r="C28" s="71" t="s">
        <v>10</v>
      </c>
      <c r="D28" s="72" t="s">
        <v>22</v>
      </c>
      <c r="E28" s="70" t="s">
        <v>14</v>
      </c>
      <c r="F28" s="71" t="s">
        <v>10</v>
      </c>
      <c r="G28" s="72"/>
      <c r="H28" s="70" t="s">
        <v>14</v>
      </c>
      <c r="I28" s="71" t="s">
        <v>10</v>
      </c>
      <c r="J28" s="72"/>
      <c r="K28" s="70" t="s">
        <v>14</v>
      </c>
      <c r="L28" s="71" t="s">
        <v>10</v>
      </c>
      <c r="M28" s="72"/>
      <c r="N28" s="70" t="s">
        <v>14</v>
      </c>
      <c r="O28" s="71" t="s">
        <v>10</v>
      </c>
      <c r="P28" s="72"/>
      <c r="Q28" s="70" t="s">
        <v>14</v>
      </c>
      <c r="R28" s="125" t="s">
        <v>10</v>
      </c>
      <c r="S28" s="126"/>
      <c r="T28" s="70" t="s">
        <v>14</v>
      </c>
      <c r="U28" s="125" t="s">
        <v>10</v>
      </c>
      <c r="V28" s="126"/>
      <c r="W28" s="70" t="s">
        <v>14</v>
      </c>
      <c r="X28" s="125" t="s">
        <v>10</v>
      </c>
      <c r="Y28" s="126"/>
      <c r="Z28" s="70" t="s">
        <v>14</v>
      </c>
      <c r="AA28" s="125" t="s">
        <v>10</v>
      </c>
      <c r="AB28" s="126"/>
      <c r="AC28" s="70" t="s">
        <v>14</v>
      </c>
      <c r="AD28" s="125" t="s">
        <v>10</v>
      </c>
      <c r="AE28" s="126"/>
      <c r="AF28" s="70" t="s">
        <v>14</v>
      </c>
      <c r="AG28" s="125" t="s">
        <v>10</v>
      </c>
      <c r="AH28" s="126"/>
      <c r="AI28" s="70" t="s">
        <v>14</v>
      </c>
      <c r="AJ28" s="125" t="s">
        <v>10</v>
      </c>
      <c r="AK28" s="126"/>
    </row>
    <row r="29" spans="1:37">
      <c r="A29" s="45" t="s">
        <v>35</v>
      </c>
      <c r="B29" s="70"/>
      <c r="C29" s="71"/>
      <c r="D29" s="72"/>
      <c r="E29" s="97">
        <v>40</v>
      </c>
      <c r="F29" s="71"/>
      <c r="G29" s="71"/>
      <c r="H29" s="97">
        <v>22.5</v>
      </c>
      <c r="I29" s="71"/>
      <c r="J29" s="71"/>
      <c r="K29" s="133">
        <v>23.6</v>
      </c>
      <c r="L29" s="125"/>
      <c r="M29" s="125"/>
      <c r="N29" s="133">
        <v>20</v>
      </c>
      <c r="O29" s="125"/>
      <c r="P29" s="125"/>
      <c r="Q29" s="133">
        <v>14</v>
      </c>
      <c r="R29" s="125"/>
      <c r="S29" s="126"/>
      <c r="T29" s="133">
        <v>10</v>
      </c>
      <c r="U29" s="125"/>
      <c r="V29" s="126"/>
      <c r="W29" s="145">
        <f>T29*0.7</f>
        <v>7</v>
      </c>
      <c r="X29" s="125"/>
      <c r="Y29" s="126"/>
      <c r="Z29" s="145">
        <v>6</v>
      </c>
      <c r="AA29" s="125"/>
      <c r="AB29" s="126"/>
      <c r="AC29" s="145">
        <v>5</v>
      </c>
      <c r="AD29" s="125"/>
      <c r="AE29" s="126"/>
      <c r="AF29" s="145">
        <v>5</v>
      </c>
      <c r="AG29" s="125"/>
      <c r="AH29" s="126"/>
      <c r="AI29" s="145">
        <v>5</v>
      </c>
      <c r="AJ29" s="125"/>
      <c r="AK29" s="126"/>
    </row>
    <row r="30" spans="1:37">
      <c r="A30" t="s">
        <v>4</v>
      </c>
      <c r="B30" s="90"/>
      <c r="C30" s="91"/>
      <c r="D30" s="92"/>
      <c r="E30" s="90"/>
      <c r="F30" s="91">
        <v>0.25</v>
      </c>
      <c r="G30" s="119"/>
      <c r="H30" s="90"/>
      <c r="I30" s="91">
        <v>0.17599999999999999</v>
      </c>
      <c r="J30" s="119"/>
      <c r="K30" s="127"/>
      <c r="L30" s="128">
        <v>0.12319999999999999</v>
      </c>
      <c r="M30" s="128"/>
      <c r="N30" s="127"/>
      <c r="O30" s="128">
        <v>8.6239999999999983E-2</v>
      </c>
      <c r="P30" s="128"/>
      <c r="Q30" s="127"/>
      <c r="R30" s="128"/>
      <c r="S30" s="129"/>
      <c r="T30" s="127"/>
      <c r="U30" s="128"/>
      <c r="V30" s="129"/>
      <c r="W30" s="127"/>
      <c r="X30" s="128"/>
      <c r="Y30" s="129"/>
      <c r="Z30" s="127"/>
      <c r="AA30" s="128"/>
      <c r="AB30" s="129"/>
      <c r="AC30" s="127"/>
      <c r="AD30" s="128"/>
      <c r="AE30" s="129"/>
      <c r="AF30" s="127"/>
      <c r="AG30" s="128"/>
      <c r="AH30" s="129"/>
      <c r="AI30" s="127"/>
      <c r="AJ30" s="128"/>
      <c r="AK30" s="129"/>
    </row>
    <row r="31" spans="1:37">
      <c r="A31" t="s">
        <v>36</v>
      </c>
      <c r="B31" s="90"/>
      <c r="C31" s="91"/>
      <c r="D31" s="92"/>
      <c r="E31" s="90"/>
      <c r="F31" s="93">
        <f>F30/4</f>
        <v>6.25E-2</v>
      </c>
      <c r="G31" s="92"/>
      <c r="H31" s="90"/>
      <c r="I31" s="91">
        <f>I30/4</f>
        <v>4.3999999999999997E-2</v>
      </c>
      <c r="J31" s="92"/>
      <c r="K31" s="127"/>
      <c r="L31" s="128">
        <v>2.8000000000000001E-2</v>
      </c>
      <c r="M31" s="129"/>
      <c r="N31" s="127"/>
      <c r="O31" s="128">
        <v>3.7999999999999999E-2</v>
      </c>
      <c r="P31" s="129"/>
      <c r="Q31" s="127"/>
      <c r="R31" s="128">
        <v>3.7999999999999999E-2</v>
      </c>
      <c r="S31" s="129"/>
      <c r="T31" s="127"/>
      <c r="U31" s="153">
        <v>4.7E-2</v>
      </c>
      <c r="V31" s="129"/>
      <c r="W31" s="127"/>
      <c r="X31" s="148">
        <v>4.7E-2</v>
      </c>
      <c r="Y31" s="129"/>
      <c r="Z31" s="127"/>
      <c r="AA31" s="148">
        <v>0.04</v>
      </c>
      <c r="AB31" s="129"/>
      <c r="AC31" s="127"/>
      <c r="AD31" s="148">
        <v>3.5000000000000003E-2</v>
      </c>
      <c r="AE31" s="129"/>
      <c r="AF31" s="127"/>
      <c r="AG31" s="148">
        <v>3.5000000000000003E-2</v>
      </c>
      <c r="AH31" s="129"/>
      <c r="AI31" s="127"/>
      <c r="AJ31" s="148">
        <v>3.5000000000000003E-2</v>
      </c>
      <c r="AK31" s="129"/>
    </row>
    <row r="32" spans="1:37">
      <c r="A32" s="45" t="s">
        <v>38</v>
      </c>
      <c r="B32" s="90"/>
      <c r="C32" s="91"/>
      <c r="D32" s="92"/>
      <c r="E32" s="90">
        <v>1.25</v>
      </c>
      <c r="F32" s="91">
        <v>1</v>
      </c>
      <c r="G32" s="92"/>
      <c r="H32" s="90">
        <v>0.87</v>
      </c>
      <c r="I32" s="91">
        <v>0.5</v>
      </c>
      <c r="J32" s="92"/>
      <c r="K32" s="128">
        <v>0.70799999999999996</v>
      </c>
      <c r="L32" s="128">
        <v>0.5</v>
      </c>
      <c r="M32" s="129"/>
      <c r="N32" s="128">
        <v>0.43</v>
      </c>
      <c r="O32" s="128">
        <v>0.3</v>
      </c>
      <c r="P32" s="129"/>
      <c r="Q32" s="127">
        <v>0.37</v>
      </c>
      <c r="R32" s="128">
        <v>0.3</v>
      </c>
      <c r="S32" s="129"/>
      <c r="T32" s="154">
        <v>0.378</v>
      </c>
      <c r="U32" s="153">
        <v>0.27900000000000003</v>
      </c>
      <c r="V32" s="129"/>
      <c r="W32" s="152">
        <f>T32</f>
        <v>0.378</v>
      </c>
      <c r="X32" s="148">
        <f>U32</f>
        <v>0.27900000000000003</v>
      </c>
      <c r="Y32" s="142"/>
      <c r="Z32" s="152">
        <f>W32*0.7</f>
        <v>0.2646</v>
      </c>
      <c r="AA32" s="148">
        <f>X32*0.7</f>
        <v>0.1953</v>
      </c>
      <c r="AB32" s="142"/>
      <c r="AC32" s="152">
        <f>Z32</f>
        <v>0.2646</v>
      </c>
      <c r="AD32" s="148">
        <f>AA32</f>
        <v>0.1953</v>
      </c>
      <c r="AE32" s="129"/>
      <c r="AF32" s="152">
        <f>AC32*0.7</f>
        <v>0.18522</v>
      </c>
      <c r="AG32" s="148">
        <f>AD32*0.7</f>
        <v>0.13671</v>
      </c>
      <c r="AH32" s="129"/>
      <c r="AI32" s="152">
        <f>AF32</f>
        <v>0.18522</v>
      </c>
      <c r="AJ32" s="148">
        <f>AG32</f>
        <v>0.13671</v>
      </c>
      <c r="AK32" s="129"/>
    </row>
    <row r="33" spans="1:37" ht="13.5" thickBot="1">
      <c r="A33" s="45" t="s">
        <v>39</v>
      </c>
      <c r="B33" s="94"/>
      <c r="C33" s="95"/>
      <c r="D33" s="96"/>
      <c r="E33" s="94">
        <v>0.17</v>
      </c>
      <c r="F33" s="95">
        <v>0.17</v>
      </c>
      <c r="G33" s="96"/>
      <c r="H33" s="94">
        <f>0.1</f>
        <v>0.1</v>
      </c>
      <c r="I33" s="95">
        <v>7.3999999999999996E-2</v>
      </c>
      <c r="J33" s="96"/>
      <c r="K33" s="131">
        <v>0.1</v>
      </c>
      <c r="L33" s="131">
        <v>8.5000000000000006E-2</v>
      </c>
      <c r="M33" s="132"/>
      <c r="N33" s="131">
        <v>0.08</v>
      </c>
      <c r="O33" s="131">
        <v>8.5000000000000006E-2</v>
      </c>
      <c r="P33" s="132"/>
      <c r="Q33" s="130">
        <v>0.04</v>
      </c>
      <c r="R33" s="138">
        <v>4.4999999999999998E-2</v>
      </c>
      <c r="S33" s="132"/>
      <c r="T33" s="140">
        <v>5.1999999999999998E-2</v>
      </c>
      <c r="U33" s="141">
        <f>R33</f>
        <v>4.4999999999999998E-2</v>
      </c>
      <c r="V33" s="132"/>
      <c r="W33" s="155">
        <v>5.1999999999999998E-2</v>
      </c>
      <c r="X33" s="156">
        <v>4.4999999999999998E-2</v>
      </c>
      <c r="Y33" s="143"/>
      <c r="Z33" s="155">
        <v>0.05</v>
      </c>
      <c r="AA33" s="156">
        <v>0.04</v>
      </c>
      <c r="AB33" s="157"/>
      <c r="AC33" s="155">
        <v>0.04</v>
      </c>
      <c r="AD33" s="156">
        <v>0.04</v>
      </c>
      <c r="AE33" s="158"/>
      <c r="AF33" s="155">
        <v>3.5000000000000003E-2</v>
      </c>
      <c r="AG33" s="156">
        <v>3.5000000000000003E-2</v>
      </c>
      <c r="AH33" s="132"/>
      <c r="AI33" s="155">
        <v>3.5000000000000003E-2</v>
      </c>
      <c r="AJ33" s="156">
        <v>3.5000000000000003E-2</v>
      </c>
      <c r="AK33" s="132"/>
    </row>
    <row r="36" spans="1:37">
      <c r="A36" s="7" t="s">
        <v>9</v>
      </c>
      <c r="B36" s="7"/>
      <c r="C36" s="7"/>
      <c r="D36" s="7"/>
    </row>
    <row r="37" spans="1:37">
      <c r="A37" s="7" t="s">
        <v>33</v>
      </c>
      <c r="B37" s="7"/>
      <c r="C37" s="7"/>
      <c r="D37" s="7"/>
    </row>
    <row r="38" spans="1:37">
      <c r="A38" s="144" t="s">
        <v>40</v>
      </c>
      <c r="B38" s="7"/>
      <c r="C38" s="7"/>
      <c r="D38" s="7"/>
    </row>
    <row r="39" spans="1:37">
      <c r="A39" s="7" t="s">
        <v>37</v>
      </c>
      <c r="B39" s="7"/>
      <c r="C39" s="7"/>
      <c r="D39" s="7"/>
    </row>
    <row r="40" spans="1:37">
      <c r="A40" s="7"/>
      <c r="B40" s="7"/>
      <c r="C40" s="7"/>
      <c r="D40" s="7"/>
      <c r="AB40" s="147"/>
    </row>
    <row r="41" spans="1:37" ht="13.5" hidden="1" thickBot="1">
      <c r="A41" s="46"/>
    </row>
    <row r="42" spans="1:37" ht="15" hidden="1">
      <c r="A42" s="118" t="s">
        <v>26</v>
      </c>
      <c r="B42" s="166">
        <v>2007</v>
      </c>
      <c r="C42" s="167"/>
      <c r="D42" s="168"/>
      <c r="E42" s="167">
        <v>2008</v>
      </c>
      <c r="F42" s="167"/>
      <c r="G42" s="167"/>
      <c r="H42" s="166">
        <v>2009</v>
      </c>
      <c r="I42" s="167"/>
      <c r="J42" s="168"/>
      <c r="K42" s="167">
        <v>2010</v>
      </c>
      <c r="L42" s="167"/>
      <c r="M42" s="167"/>
      <c r="N42" s="166">
        <v>2011</v>
      </c>
      <c r="O42" s="167"/>
      <c r="P42" s="168"/>
      <c r="Q42" s="167">
        <v>2012</v>
      </c>
      <c r="R42" s="167"/>
      <c r="S42" s="168"/>
      <c r="T42" s="167">
        <v>2013</v>
      </c>
      <c r="U42" s="167"/>
      <c r="V42" s="168"/>
    </row>
    <row r="43" spans="1:37" hidden="1">
      <c r="B43" s="70" t="s">
        <v>14</v>
      </c>
      <c r="C43" s="71" t="s">
        <v>10</v>
      </c>
      <c r="D43" s="72" t="s">
        <v>0</v>
      </c>
      <c r="E43" s="71" t="s">
        <v>14</v>
      </c>
      <c r="F43" s="71" t="s">
        <v>10</v>
      </c>
      <c r="G43" s="71" t="s">
        <v>0</v>
      </c>
      <c r="H43" s="70" t="s">
        <v>14</v>
      </c>
      <c r="I43" s="71" t="s">
        <v>10</v>
      </c>
      <c r="J43" s="72" t="s">
        <v>0</v>
      </c>
      <c r="K43" s="71" t="s">
        <v>14</v>
      </c>
      <c r="L43" s="71" t="s">
        <v>10</v>
      </c>
      <c r="M43" s="71" t="s">
        <v>0</v>
      </c>
      <c r="N43" s="70" t="s">
        <v>14</v>
      </c>
      <c r="O43" s="71" t="s">
        <v>10</v>
      </c>
      <c r="P43" s="72" t="s">
        <v>0</v>
      </c>
      <c r="Q43" s="125" t="s">
        <v>14</v>
      </c>
      <c r="R43" s="125" t="s">
        <v>10</v>
      </c>
      <c r="S43" s="126" t="s">
        <v>0</v>
      </c>
      <c r="T43" s="125" t="s">
        <v>14</v>
      </c>
      <c r="U43" s="125" t="s">
        <v>10</v>
      </c>
      <c r="V43" s="126" t="s">
        <v>0</v>
      </c>
    </row>
    <row r="44" spans="1:37" ht="13.5" hidden="1" thickBot="1">
      <c r="B44" s="120">
        <v>40</v>
      </c>
      <c r="C44" s="121">
        <v>40</v>
      </c>
      <c r="D44" s="134">
        <v>200</v>
      </c>
      <c r="E44" s="121">
        <v>40</v>
      </c>
      <c r="F44" s="121">
        <v>80</v>
      </c>
      <c r="G44" s="134">
        <v>200</v>
      </c>
      <c r="H44" s="122">
        <v>120</v>
      </c>
      <c r="I44" s="121">
        <v>80</v>
      </c>
      <c r="J44" s="123">
        <v>200</v>
      </c>
      <c r="K44" s="121">
        <v>87</v>
      </c>
      <c r="L44" s="121">
        <v>78</v>
      </c>
      <c r="M44" s="135">
        <f>L44+K44</f>
        <v>165</v>
      </c>
      <c r="N44" s="122">
        <v>83</v>
      </c>
      <c r="O44" s="121">
        <v>42</v>
      </c>
      <c r="P44" s="134">
        <f>N44+O44</f>
        <v>125</v>
      </c>
      <c r="Q44" s="121">
        <v>27</v>
      </c>
      <c r="R44" s="121">
        <v>24</v>
      </c>
      <c r="S44" s="134">
        <f>SUM(Q44:R44)</f>
        <v>51</v>
      </c>
      <c r="T44" s="121">
        <f>U15</f>
        <v>47.199999999999996</v>
      </c>
      <c r="U44" s="121">
        <f>U22</f>
        <v>19.336200000000002</v>
      </c>
      <c r="V44" s="134">
        <f>SUM(T44:U44)</f>
        <v>66.536199999999994</v>
      </c>
    </row>
    <row r="45" spans="1:37" hidden="1">
      <c r="B45" s="45"/>
      <c r="D45" s="47"/>
      <c r="E45" s="47"/>
    </row>
    <row r="46" spans="1:37" ht="18">
      <c r="A46" s="161"/>
      <c r="B46" s="45"/>
      <c r="D46" s="47"/>
      <c r="E46" s="47"/>
      <c r="N46" s="136"/>
      <c r="O46" s="136"/>
      <c r="P46" s="137"/>
    </row>
    <row r="47" spans="1:37">
      <c r="B47" s="45"/>
      <c r="D47" s="47"/>
      <c r="E47" s="47"/>
      <c r="W47" s="147"/>
    </row>
    <row r="48" spans="1:37">
      <c r="B48" s="45"/>
      <c r="D48" s="47"/>
      <c r="E48" s="47"/>
    </row>
    <row r="49" spans="1:5">
      <c r="B49" s="45"/>
      <c r="D49" s="47"/>
      <c r="E49" s="47"/>
    </row>
    <row r="51" spans="1:5" ht="15.75">
      <c r="A51" s="48"/>
      <c r="B51" s="43"/>
      <c r="C51" s="43"/>
      <c r="D51" s="49"/>
      <c r="E51" s="49"/>
    </row>
    <row r="52" spans="1:5" ht="15.75">
      <c r="A52" s="44"/>
    </row>
    <row r="53" spans="1:5" ht="15.75">
      <c r="A53" s="44"/>
    </row>
  </sheetData>
  <mergeCells count="42">
    <mergeCell ref="AI27:AK27"/>
    <mergeCell ref="AC6:AD6"/>
    <mergeCell ref="AC7:AD7"/>
    <mergeCell ref="AC27:AE27"/>
    <mergeCell ref="AF6:AG6"/>
    <mergeCell ref="AF7:AG7"/>
    <mergeCell ref="AF27:AH27"/>
    <mergeCell ref="AI6:AJ6"/>
    <mergeCell ref="AI7:AJ7"/>
    <mergeCell ref="K27:M27"/>
    <mergeCell ref="K7:L7"/>
    <mergeCell ref="N7:O7"/>
    <mergeCell ref="N27:P27"/>
    <mergeCell ref="B6:C6"/>
    <mergeCell ref="E6:F6"/>
    <mergeCell ref="H6:I6"/>
    <mergeCell ref="K6:L6"/>
    <mergeCell ref="N6:O6"/>
    <mergeCell ref="H27:J27"/>
    <mergeCell ref="E27:G27"/>
    <mergeCell ref="B27:D27"/>
    <mergeCell ref="E7:F7"/>
    <mergeCell ref="H7:I7"/>
    <mergeCell ref="B42:D42"/>
    <mergeCell ref="E42:G42"/>
    <mergeCell ref="H42:J42"/>
    <mergeCell ref="K42:M42"/>
    <mergeCell ref="N42:P42"/>
    <mergeCell ref="Q42:S42"/>
    <mergeCell ref="T6:U6"/>
    <mergeCell ref="T7:U7"/>
    <mergeCell ref="T27:V27"/>
    <mergeCell ref="T42:V42"/>
    <mergeCell ref="Q6:R6"/>
    <mergeCell ref="Q7:R7"/>
    <mergeCell ref="Q27:S27"/>
    <mergeCell ref="W6:X6"/>
    <mergeCell ref="W7:X7"/>
    <mergeCell ref="Z6:AA6"/>
    <mergeCell ref="Z7:AA7"/>
    <mergeCell ref="W27:Y27"/>
    <mergeCell ref="Z27:AB2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2013EGO Status</vt:lpstr>
      <vt:lpstr>'2013EGO Status'!Print_Area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Bozzi</dc:creator>
  <cp:lastModifiedBy>Antonella Bozzi</cp:lastModifiedBy>
  <cp:lastPrinted>2013-12-03T09:36:16Z</cp:lastPrinted>
  <dcterms:created xsi:type="dcterms:W3CDTF">1996-10-14T23:33:28Z</dcterms:created>
  <dcterms:modified xsi:type="dcterms:W3CDTF">2013-12-03T09:39:20Z</dcterms:modified>
</cp:coreProperties>
</file>